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0" yWindow="1035" windowWidth="10260" windowHeight="4320" activeTab="0"/>
  </bookViews>
  <sheets>
    <sheet name="Start Here" sheetId="1" r:id="rId1"/>
    <sheet name="Systematic Sample School" sheetId="2" state="hidden" r:id="rId2"/>
    <sheet name="Cluster HH" sheetId="3" state="hidden" r:id="rId3"/>
    <sheet name="Cluster School" sheetId="4" state="hidden" r:id="rId4"/>
    <sheet name="Systematic Sample HH" sheetId="5" state="hidden" r:id="rId5"/>
    <sheet name="Critical Values" sheetId="6" state="hidden" r:id="rId6"/>
    <sheet name="Select EAs" sheetId="7" state="hidden" r:id="rId7"/>
    <sheet name="Select Schools" sheetId="8" state="hidden" r:id="rId8"/>
    <sheet name="Scrap" sheetId="9" state="hidden" r:id="rId9"/>
    <sheet name="STH Critical Values" sheetId="10" state="hidden" r:id="rId10"/>
    <sheet name="Sheet4" sheetId="11" state="hidden" r:id="rId11"/>
    <sheet name="TAS Census STH Sys Sample" sheetId="12" state="hidden" r:id="rId12"/>
    <sheet name="TAS Sys Sample STH Census" sheetId="13" state="hidden" r:id="rId13"/>
    <sheet name="Census" sheetId="14" state="hidden" r:id="rId14"/>
  </sheets>
  <definedNames>
    <definedName name="_xlfn.F.DIST" hidden="1">#NAME?</definedName>
  </definedNames>
  <calcPr fullCalcOnLoad="1"/>
</workbook>
</file>

<file path=xl/sharedStrings.xml><?xml version="1.0" encoding="utf-8"?>
<sst xmlns="http://schemas.openxmlformats.org/spreadsheetml/2006/main" count="368" uniqueCount="144">
  <si>
    <t>Divide the sample size for cluster design by the average number of target-grade children per school and round up to the nearest integer.  If this integer is &lt;30, then the number of clusters is 30</t>
  </si>
  <si>
    <t>Cluster_Design_Critical_CutOff_d_cluster</t>
  </si>
  <si>
    <t>Number_of_clusters</t>
  </si>
  <si>
    <t>Sample_Size_for_Cluster_Design</t>
  </si>
  <si>
    <t>LQAS_Critical_Cutoff_d</t>
  </si>
  <si>
    <t>LQAS SLQAS_Sample_Size_nample Size (n)</t>
  </si>
  <si>
    <t>Sampling_Interval</t>
  </si>
  <si>
    <t>Sampling_Fraction</t>
  </si>
  <si>
    <t>Population_Surveyed</t>
  </si>
  <si>
    <t>Prev</t>
  </si>
  <si>
    <t>It is recommended that you use the following survey methodology:</t>
  </si>
  <si>
    <t>Population of 6-7 yrs:</t>
  </si>
  <si>
    <t>Total number  of EAs:</t>
  </si>
  <si>
    <t>Ave. population 6-7yrs per EA:</t>
  </si>
  <si>
    <t>Sample Size for Cluster Design</t>
  </si>
  <si>
    <t>Critical Cut-off</t>
  </si>
  <si>
    <t>Number of Clusters</t>
  </si>
  <si>
    <t>2%</t>
  </si>
  <si>
    <t>1%</t>
  </si>
  <si>
    <t>Sample Size for LQAS</t>
  </si>
  <si>
    <t>Sampling Fraction</t>
  </si>
  <si>
    <t>Sampling Interval</t>
  </si>
  <si>
    <t xml:space="preserve"> </t>
  </si>
  <si>
    <t>Total number of EAs:</t>
  </si>
  <si>
    <t>No. of EAs (clusters) to be sampled:</t>
  </si>
  <si>
    <t>LQAS School</t>
  </si>
  <si>
    <t>Cluster School</t>
  </si>
  <si>
    <t>Cluster HH</t>
  </si>
  <si>
    <t>LQAS HH</t>
  </si>
  <si>
    <t>Prevalence</t>
  </si>
  <si>
    <t>1</t>
  </si>
  <si>
    <t>*This is the first viable population for doing cluster</t>
  </si>
  <si>
    <t>Total number of Schools:</t>
  </si>
  <si>
    <t>Population of 1st and 2nd graders:</t>
  </si>
  <si>
    <r>
      <rPr>
        <vertAlign val="superscript"/>
        <sz val="11"/>
        <color indexed="8"/>
        <rFont val="Calibri"/>
        <family val="2"/>
      </rPr>
      <t>1</t>
    </r>
  </si>
  <si>
    <t>Population 1st and 2nd graders</t>
  </si>
  <si>
    <t>CountryName</t>
  </si>
  <si>
    <t>EUName</t>
  </si>
  <si>
    <t>PrimaryVector</t>
  </si>
  <si>
    <t>EA</t>
  </si>
  <si>
    <t>Avg. number of students in target grade(s) per school:</t>
  </si>
  <si>
    <t xml:space="preserve">*Note, if any of the above information is incorrect, click on the 'Back to "Start Here"' button and then click 'edit EU information' </t>
  </si>
  <si>
    <t>No. of schools (clusters) to be sampled:</t>
  </si>
  <si>
    <t>LF Absentee Rate</t>
  </si>
  <si>
    <t>STH Absentee Rate</t>
  </si>
  <si>
    <t>KidPopGrade3</t>
  </si>
  <si>
    <t xml:space="preserve">KidPop6-7 </t>
  </si>
  <si>
    <t>STH absentee rate</t>
  </si>
  <si>
    <t>LF absentee rate</t>
  </si>
  <si>
    <t xml:space="preserve">Target population </t>
  </si>
  <si>
    <t>Overview LF TAS Survey</t>
  </si>
  <si>
    <t>Overview STH Survey</t>
  </si>
  <si>
    <t>Predicted LF non-response rate</t>
  </si>
  <si>
    <t>Predicted STH non-response rate</t>
  </si>
  <si>
    <t>LF TAS Survey Design Recommendations</t>
  </si>
  <si>
    <t>STH Survey Design Recommendations</t>
  </si>
  <si>
    <t>Number of children in target population</t>
  </si>
  <si>
    <t>Same STH target age?</t>
  </si>
  <si>
    <t>Survey Location</t>
  </si>
  <si>
    <t>Cluster or LQAS?</t>
  </si>
  <si>
    <t>Survey Type Key</t>
  </si>
  <si>
    <t>Code</t>
  </si>
  <si>
    <t>HH Census</t>
  </si>
  <si>
    <t>School 1-2 grade Census</t>
  </si>
  <si>
    <t>School 3rd grade Census</t>
  </si>
  <si>
    <t>HH Systematic Sample</t>
  </si>
  <si>
    <t>School Systematic Sample 1-2nd grade</t>
  </si>
  <si>
    <t>School Systematic Sample 3rd grade</t>
  </si>
  <si>
    <t>HH Cluster Sample</t>
  </si>
  <si>
    <t>School Cluster Sample 1-2 grade</t>
  </si>
  <si>
    <t>School Cluster Sample 3rd grade</t>
  </si>
  <si>
    <t>TAS Survey Type</t>
  </si>
  <si>
    <t>STH Survey Type</t>
  </si>
  <si>
    <r>
      <t xml:space="preserve">Demographic data relevant for TAS </t>
    </r>
    <r>
      <rPr>
        <sz val="14"/>
        <color indexed="9"/>
        <rFont val="Calibri"/>
        <family val="2"/>
      </rPr>
      <t>(provided by user)</t>
    </r>
  </si>
  <si>
    <r>
      <t xml:space="preserve">Demographic data relevant for STH </t>
    </r>
    <r>
      <rPr>
        <sz val="14"/>
        <color indexed="9"/>
        <rFont val="Calibri"/>
        <family val="2"/>
      </rPr>
      <t>(provided by user)</t>
    </r>
  </si>
  <si>
    <r>
      <t>Survey Sampling Methodology</t>
    </r>
    <r>
      <rPr>
        <sz val="12"/>
        <color indexed="8"/>
        <rFont val="Calibri"/>
        <family val="2"/>
      </rPr>
      <t xml:space="preserve"> (calculated by program)</t>
    </r>
  </si>
  <si>
    <r>
      <t>Number of Clusters</t>
    </r>
    <r>
      <rPr>
        <vertAlign val="superscript"/>
        <sz val="11"/>
        <color indexed="8"/>
        <rFont val="Calibri"/>
        <family val="2"/>
      </rPr>
      <t>1</t>
    </r>
  </si>
  <si>
    <r>
      <t>Sampling Fraction (of children within the schools)</t>
    </r>
    <r>
      <rPr>
        <vertAlign val="superscript"/>
        <sz val="11"/>
        <color indexed="8"/>
        <rFont val="Calibri"/>
        <family val="2"/>
      </rPr>
      <t>1</t>
    </r>
  </si>
  <si>
    <r>
      <t>Sampling Interval (of children within the schools)</t>
    </r>
    <r>
      <rPr>
        <vertAlign val="superscript"/>
        <sz val="11"/>
        <color indexed="8"/>
        <rFont val="Calibri"/>
        <family val="2"/>
      </rPr>
      <t>1</t>
    </r>
  </si>
  <si>
    <r>
      <t>Number of Clusters</t>
    </r>
    <r>
      <rPr>
        <vertAlign val="superscript"/>
        <sz val="12"/>
        <color indexed="8"/>
        <rFont val="Calibri"/>
        <family val="2"/>
      </rPr>
      <t>2</t>
    </r>
  </si>
  <si>
    <r>
      <t>Sampling Fraction (of children within the schools)</t>
    </r>
    <r>
      <rPr>
        <vertAlign val="superscript"/>
        <sz val="12"/>
        <color indexed="8"/>
        <rFont val="Calibri"/>
        <family val="2"/>
      </rPr>
      <t>2</t>
    </r>
  </si>
  <si>
    <r>
      <t>Sampling Interval (of children within the schools)</t>
    </r>
    <r>
      <rPr>
        <vertAlign val="superscript"/>
        <sz val="12"/>
        <color indexed="8"/>
        <rFont val="Calibri"/>
        <family val="2"/>
      </rPr>
      <t>2</t>
    </r>
  </si>
  <si>
    <t>Sampling design</t>
  </si>
  <si>
    <t>Critical cut-off values for concluding STH prevalence in the range:</t>
  </si>
  <si>
    <t>N</t>
  </si>
  <si>
    <t>STH sample size</t>
  </si>
  <si>
    <r>
      <t>&lt; 2%</t>
    </r>
    <r>
      <rPr>
        <b/>
        <vertAlign val="superscript"/>
        <sz val="11"/>
        <color indexed="8"/>
        <rFont val="Calibri"/>
        <family val="2"/>
      </rPr>
      <t>a</t>
    </r>
  </si>
  <si>
    <t xml:space="preserve">2% to </t>
  </si>
  <si>
    <r>
      <t>&lt; 10%</t>
    </r>
    <r>
      <rPr>
        <i/>
        <vertAlign val="superscript"/>
        <sz val="11"/>
        <color indexed="8"/>
        <rFont val="Calibri"/>
        <family val="2"/>
      </rPr>
      <t>b</t>
    </r>
  </si>
  <si>
    <t xml:space="preserve">10% to </t>
  </si>
  <si>
    <r>
      <t>&lt; 20%</t>
    </r>
    <r>
      <rPr>
        <i/>
        <vertAlign val="superscript"/>
        <sz val="11"/>
        <color indexed="8"/>
        <rFont val="Calibri"/>
        <family val="2"/>
      </rPr>
      <t>c</t>
    </r>
  </si>
  <si>
    <t>20% to</t>
  </si>
  <si>
    <r>
      <t>&lt; 50%</t>
    </r>
    <r>
      <rPr>
        <i/>
        <vertAlign val="superscript"/>
        <sz val="11"/>
        <color indexed="8"/>
        <rFont val="Calibri"/>
        <family val="2"/>
      </rPr>
      <t>d</t>
    </r>
  </si>
  <si>
    <t>≥ 50%</t>
  </si>
  <si>
    <t>Census</t>
  </si>
  <si>
    <t>&lt;400</t>
  </si>
  <si>
    <t>Systematic</t>
  </si>
  <si>
    <r>
      <t>Cluster sampling</t>
    </r>
    <r>
      <rPr>
        <i/>
        <vertAlign val="superscript"/>
        <sz val="11"/>
        <color indexed="8"/>
        <rFont val="Calibri"/>
        <family val="2"/>
      </rPr>
      <t>f,g</t>
    </r>
  </si>
  <si>
    <t>2-&lt;10%</t>
  </si>
  <si>
    <t>10%-&lt;20%</t>
  </si>
  <si>
    <t>20%-&lt;50%</t>
  </si>
  <si>
    <t>&lt; 2%</t>
  </si>
  <si>
    <t>See table to the right for critical cut-off values for STH</t>
  </si>
  <si>
    <t>Critical cut-off values for concluding STH prevalence is in the range of:</t>
  </si>
  <si>
    <r>
      <t>Sampling Fraction (of children within the EAs)</t>
    </r>
    <r>
      <rPr>
        <vertAlign val="superscript"/>
        <sz val="12"/>
        <color indexed="8"/>
        <rFont val="Calibri"/>
        <family val="2"/>
      </rPr>
      <t>2</t>
    </r>
  </si>
  <si>
    <r>
      <t>Sampling Interval (of children within the EAs)</t>
    </r>
    <r>
      <rPr>
        <vertAlign val="superscript"/>
        <sz val="12"/>
        <color indexed="8"/>
        <rFont val="Calibri"/>
        <family val="2"/>
      </rPr>
      <t>2</t>
    </r>
  </si>
  <si>
    <t>Critical Cut-off  (maximum # positive test results allowable for country to "Pass")</t>
  </si>
  <si>
    <t>STH List A</t>
  </si>
  <si>
    <t>STH List B</t>
  </si>
  <si>
    <r>
      <t>Sampling Fraction (of children within the Schools)</t>
    </r>
    <r>
      <rPr>
        <vertAlign val="superscript"/>
        <sz val="11"/>
        <color indexed="8"/>
        <rFont val="Calibri"/>
        <family val="2"/>
      </rPr>
      <t>1</t>
    </r>
  </si>
  <si>
    <r>
      <t>Sampling Interval (of children within the Schools)</t>
    </r>
    <r>
      <rPr>
        <vertAlign val="superscript"/>
        <sz val="11"/>
        <color indexed="8"/>
        <rFont val="Calibri"/>
        <family val="2"/>
      </rPr>
      <t>1</t>
    </r>
  </si>
  <si>
    <r>
      <t>Sampling Fraction (of children within the Schools)</t>
    </r>
    <r>
      <rPr>
        <vertAlign val="superscript"/>
        <sz val="12"/>
        <color indexed="8"/>
        <rFont val="Calibri"/>
        <family val="2"/>
      </rPr>
      <t>2</t>
    </r>
  </si>
  <si>
    <r>
      <t>Sampling Interval (of children within the Schools)</t>
    </r>
    <r>
      <rPr>
        <vertAlign val="superscript"/>
        <sz val="12"/>
        <color indexed="8"/>
        <rFont val="Calibri"/>
        <family val="2"/>
      </rPr>
      <t>2</t>
    </r>
  </si>
  <si>
    <t>TAS List A</t>
  </si>
  <si>
    <t>TAS List B</t>
  </si>
  <si>
    <t>NA</t>
  </si>
  <si>
    <t>*</t>
  </si>
  <si>
    <r>
      <t>Sampling Fraction (of households within the EAs)</t>
    </r>
    <r>
      <rPr>
        <vertAlign val="superscript"/>
        <sz val="11"/>
        <color indexed="8"/>
        <rFont val="Calibri"/>
        <family val="2"/>
      </rPr>
      <t>1</t>
    </r>
  </si>
  <si>
    <r>
      <t>Sampling Interval (of households within the EAs)</t>
    </r>
    <r>
      <rPr>
        <vertAlign val="superscript"/>
        <sz val="11"/>
        <color indexed="8"/>
        <rFont val="Calibri"/>
        <family val="2"/>
      </rPr>
      <t>1</t>
    </r>
  </si>
  <si>
    <t>Avg. number of children in target population per EA</t>
  </si>
  <si>
    <r>
      <t>Sampling Fraction (of households within the EAs)</t>
    </r>
    <r>
      <rPr>
        <vertAlign val="superscript"/>
        <sz val="12"/>
        <color indexed="8"/>
        <rFont val="Calibri"/>
        <family val="2"/>
      </rPr>
      <t>2</t>
    </r>
  </si>
  <si>
    <r>
      <t>Sampling Interval (of households within the EAs)</t>
    </r>
    <r>
      <rPr>
        <vertAlign val="superscript"/>
        <sz val="12"/>
        <color indexed="8"/>
        <rFont val="Calibri"/>
        <family val="2"/>
      </rPr>
      <t>2</t>
    </r>
  </si>
  <si>
    <t>TAS/STH List A</t>
  </si>
  <si>
    <t>TAS/STH List B</t>
  </si>
  <si>
    <t>**</t>
  </si>
  <si>
    <t>1-20</t>
  </si>
  <si>
    <t>21-48</t>
  </si>
  <si>
    <t>49-144</t>
  </si>
  <si>
    <r>
      <rPr>
        <u val="single"/>
        <sz val="11"/>
        <color indexed="8"/>
        <rFont val="Calibri"/>
        <family val="2"/>
      </rPr>
      <t>&gt;</t>
    </r>
    <r>
      <rPr>
        <sz val="11"/>
        <color theme="1"/>
        <rFont val="Calibri"/>
        <family val="2"/>
      </rPr>
      <t>145</t>
    </r>
  </si>
  <si>
    <t>1-10</t>
  </si>
  <si>
    <t>11-24</t>
  </si>
  <si>
    <r>
      <t>25-72</t>
    </r>
    <r>
      <rPr>
        <i/>
        <vertAlign val="superscript"/>
        <sz val="11"/>
        <color indexed="8"/>
        <rFont val="Calibri"/>
        <family val="2"/>
      </rPr>
      <t xml:space="preserve"> </t>
    </r>
  </si>
  <si>
    <t>≥73</t>
  </si>
  <si>
    <r>
      <t>Directions:</t>
    </r>
    <r>
      <rPr>
        <sz val="14"/>
        <rFont val="Calibri"/>
        <family val="2"/>
      </rPr>
      <t xml:space="preserve"> Obtain a comprehensive list of all the schools in the EU and number them, preferably in order of geographic proximity. Once all schools have been assigned a number, double check that the values listed below are correct and click the "Select" button.   When you are finished you can click "Return to Previous Page" to go back.</t>
    </r>
  </si>
  <si>
    <r>
      <t>Directions:</t>
    </r>
    <r>
      <rPr>
        <sz val="14"/>
        <rFont val="Calibri"/>
        <family val="2"/>
      </rPr>
      <t xml:space="preserve"> Obtain a comprehensive list of all the EAs in the EU and number them, preferably in order of geographic proximity. Once all EAs have been assigned a number, double check that the values listed below are correct and click the "Select" button.   When you are finished you can click "Return to Previous Page" to go back.</t>
    </r>
  </si>
  <si>
    <t>Avg. number of students in target grade(s) per school</t>
  </si>
  <si>
    <t>Avg. number of students in target population per EA/school:</t>
  </si>
  <si>
    <t>Sampling Fraction (of children within the schools)1</t>
  </si>
  <si>
    <t>Sampling Interval (of children within the schools)1</t>
  </si>
  <si>
    <t>LF  Only</t>
  </si>
  <si>
    <t>***</t>
  </si>
  <si>
    <t>Number of primary schools in the EU</t>
  </si>
  <si>
    <t>*Anopheles, Culex, or Mansonia Primary Vector</t>
  </si>
  <si>
    <t>Version 1.51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</si>
</sst>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000"/>
    <numFmt numFmtId="166" formatCode="[$-409]dddd\,\ mmmm\ dd\,\ yyyy"/>
    <numFmt numFmtId="167" formatCode="[$-409]h:mm:ss\ AM/PM"/>
    <numFmt numFmtId="168" formatCode="#,##0.0"/>
    <numFmt numFmtId="169" formatCode="#,##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sz val="12"/>
      <color indexed="56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8"/>
      <color indexed="9"/>
      <name val="Baskerville Old Face"/>
      <family val="1"/>
    </font>
    <font>
      <b/>
      <sz val="18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4"/>
      <name val="Calibri"/>
      <family val="2"/>
    </font>
    <font>
      <sz val="8"/>
      <name val="Calibri"/>
      <family val="2"/>
    </font>
    <font>
      <vertAlign val="superscript"/>
      <sz val="11"/>
      <color indexed="8"/>
      <name val="Calibri"/>
      <family val="2"/>
    </font>
    <font>
      <sz val="14"/>
      <color indexed="9"/>
      <name val="Calibri"/>
      <family val="2"/>
    </font>
    <font>
      <sz val="11"/>
      <name val="Calibri"/>
      <family val="2"/>
    </font>
    <font>
      <b/>
      <vertAlign val="superscript"/>
      <sz val="11"/>
      <color indexed="8"/>
      <name val="Calibri"/>
      <family val="2"/>
    </font>
    <font>
      <i/>
      <vertAlign val="superscript"/>
      <sz val="11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56"/>
      <name val="Calibri"/>
      <family val="2"/>
    </font>
    <font>
      <b/>
      <sz val="12"/>
      <color indexed="60"/>
      <name val="Calibri"/>
      <family val="2"/>
    </font>
    <font>
      <b/>
      <sz val="14"/>
      <color indexed="9"/>
      <name val="Calibri"/>
      <family val="2"/>
    </font>
    <font>
      <b/>
      <sz val="14"/>
      <color indexed="56"/>
      <name val="Calibri"/>
      <family val="2"/>
    </font>
    <font>
      <b/>
      <sz val="14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b/>
      <u val="single"/>
      <sz val="12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theme="3"/>
      <name val="Calibri"/>
      <family val="2"/>
    </font>
    <font>
      <b/>
      <sz val="14"/>
      <color theme="5" tint="-0.24997000396251678"/>
      <name val="Calibri"/>
      <family val="2"/>
    </font>
    <font>
      <b/>
      <sz val="12"/>
      <color rgb="FF002060"/>
      <name val="Calibri"/>
      <family val="2"/>
    </font>
    <font>
      <b/>
      <sz val="12"/>
      <color theme="5" tint="-0.24997000396251678"/>
      <name val="Calibri"/>
      <family val="2"/>
    </font>
    <font>
      <b/>
      <sz val="12"/>
      <color theme="1"/>
      <name val="Calibri"/>
      <family val="2"/>
    </font>
    <font>
      <b/>
      <sz val="12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6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/>
    </xf>
    <xf numFmtId="0" fontId="7" fillId="0" borderId="12" xfId="0" applyNumberFormat="1" applyFont="1" applyBorder="1" applyAlignment="1">
      <alignment horizontal="left" vertical="center"/>
    </xf>
    <xf numFmtId="9" fontId="7" fillId="0" borderId="13" xfId="0" applyNumberFormat="1" applyFont="1" applyBorder="1" applyAlignment="1" applyProtection="1">
      <alignment horizontal="left" vertical="center"/>
      <protection locked="0"/>
    </xf>
    <xf numFmtId="9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0" fontId="3" fillId="0" borderId="14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left" vertical="center"/>
    </xf>
    <xf numFmtId="3" fontId="7" fillId="0" borderId="17" xfId="0" applyNumberFormat="1" applyFont="1" applyBorder="1" applyAlignment="1">
      <alignment horizontal="left"/>
    </xf>
    <xf numFmtId="3" fontId="7" fillId="0" borderId="18" xfId="0" applyNumberFormat="1" applyFont="1" applyBorder="1" applyAlignment="1">
      <alignment horizontal="left"/>
    </xf>
    <xf numFmtId="1" fontId="7" fillId="0" borderId="19" xfId="0" applyNumberFormat="1" applyFont="1" applyBorder="1" applyAlignment="1">
      <alignment horizontal="left"/>
    </xf>
    <xf numFmtId="3" fontId="7" fillId="0" borderId="19" xfId="0" applyNumberFormat="1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164" fontId="7" fillId="0" borderId="18" xfId="0" applyNumberFormat="1" applyFont="1" applyBorder="1" applyAlignment="1">
      <alignment horizontal="left"/>
    </xf>
    <xf numFmtId="3" fontId="7" fillId="0" borderId="13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3" fontId="7" fillId="0" borderId="17" xfId="0" applyNumberFormat="1" applyFont="1" applyBorder="1" applyAlignment="1" applyProtection="1">
      <alignment horizontal="left"/>
      <protection locked="0"/>
    </xf>
    <xf numFmtId="3" fontId="7" fillId="0" borderId="18" xfId="0" applyNumberFormat="1" applyFont="1" applyBorder="1" applyAlignment="1" applyProtection="1">
      <alignment horizontal="left"/>
      <protection locked="0"/>
    </xf>
    <xf numFmtId="1" fontId="7" fillId="0" borderId="18" xfId="0" applyNumberFormat="1" applyFont="1" applyBorder="1" applyAlignment="1" applyProtection="1">
      <alignment horizontal="left"/>
      <protection locked="0"/>
    </xf>
    <xf numFmtId="1" fontId="7" fillId="0" borderId="19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/>
    </xf>
    <xf numFmtId="0" fontId="3" fillId="0" borderId="15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1" fillId="0" borderId="0" xfId="0" applyFont="1" applyAlignment="1" applyProtection="1">
      <alignment horizontal="center" vertical="top" wrapText="1"/>
      <protection locked="0"/>
    </xf>
    <xf numFmtId="3" fontId="6" fillId="0" borderId="0" xfId="0" applyNumberFormat="1" applyFont="1" applyAlignment="1" applyProtection="1">
      <alignment horizontal="center" wrapText="1"/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6" fillId="0" borderId="10" xfId="0" applyNumberFormat="1" applyFont="1" applyBorder="1" applyAlignment="1">
      <alignment vertical="center" wrapText="1"/>
    </xf>
    <xf numFmtId="0" fontId="3" fillId="0" borderId="15" xfId="0" applyNumberFormat="1" applyFont="1" applyFill="1" applyBorder="1" applyAlignment="1">
      <alignment horizontal="left" vertical="center"/>
    </xf>
    <xf numFmtId="0" fontId="0" fillId="0" borderId="0" xfId="0" applyAlignment="1" quotePrefix="1">
      <alignment horizontal="right"/>
    </xf>
    <xf numFmtId="0" fontId="3" fillId="0" borderId="15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66" fillId="0" borderId="0" xfId="0" applyFont="1" applyAlignment="1" applyProtection="1">
      <alignment horizontal="right" wrapText="1"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3" fontId="7" fillId="0" borderId="13" xfId="0" applyNumberFormat="1" applyFont="1" applyBorder="1" applyAlignment="1" applyProtection="1">
      <alignment horizontal="left" vertical="center" wrapText="1"/>
      <protection locked="0"/>
    </xf>
    <xf numFmtId="9" fontId="7" fillId="0" borderId="13" xfId="59" applyFont="1" applyBorder="1" applyAlignment="1" applyProtection="1">
      <alignment horizontal="left" vertical="center"/>
      <protection locked="0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 applyProtection="1">
      <alignment horizontal="left" vertical="center"/>
      <protection locked="0"/>
    </xf>
    <xf numFmtId="0" fontId="6" fillId="0" borderId="21" xfId="0" applyNumberFormat="1" applyFont="1" applyBorder="1" applyAlignment="1">
      <alignment horizontal="left" vertical="center" wrapText="1"/>
    </xf>
    <xf numFmtId="3" fontId="7" fillId="0" borderId="22" xfId="0" applyNumberFormat="1" applyFont="1" applyBorder="1" applyAlignment="1" applyProtection="1">
      <alignment horizontal="left" vertical="center"/>
      <protection locked="0"/>
    </xf>
    <xf numFmtId="0" fontId="6" fillId="0" borderId="21" xfId="0" applyNumberFormat="1" applyFont="1" applyBorder="1" applyAlignment="1">
      <alignment vertical="center" wrapText="1"/>
    </xf>
    <xf numFmtId="0" fontId="6" fillId="0" borderId="21" xfId="0" applyNumberFormat="1" applyFont="1" applyBorder="1" applyAlignment="1" applyProtection="1">
      <alignment vertical="center"/>
      <protection locked="0"/>
    </xf>
    <xf numFmtId="0" fontId="64" fillId="0" borderId="23" xfId="0" applyFont="1" applyBorder="1" applyAlignment="1">
      <alignment/>
    </xf>
    <xf numFmtId="0" fontId="64" fillId="0" borderId="24" xfId="0" applyFont="1" applyBorder="1" applyAlignment="1">
      <alignment/>
    </xf>
    <xf numFmtId="0" fontId="16" fillId="0" borderId="0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49" fontId="68" fillId="0" borderId="0" xfId="0" applyNumberFormat="1" applyFont="1" applyAlignment="1">
      <alignment horizontal="right"/>
    </xf>
    <xf numFmtId="3" fontId="21" fillId="0" borderId="25" xfId="0" applyNumberFormat="1" applyFont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" fontId="0" fillId="0" borderId="12" xfId="0" applyNumberFormat="1" applyBorder="1" applyAlignment="1" quotePrefix="1">
      <alignment horizontal="center" vertical="center" wrapText="1"/>
    </xf>
    <xf numFmtId="0" fontId="0" fillId="0" borderId="12" xfId="0" applyBorder="1" applyAlignment="1" quotePrefix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69" fillId="0" borderId="27" xfId="0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0" fillId="0" borderId="28" xfId="0" applyBorder="1" applyAlignment="1" applyProtection="1">
      <alignment horizontal="center"/>
      <protection locked="0"/>
    </xf>
    <xf numFmtId="0" fontId="3" fillId="0" borderId="29" xfId="0" applyNumberFormat="1" applyFont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3" fontId="21" fillId="0" borderId="25" xfId="0" applyNumberFormat="1" applyFont="1" applyBorder="1" applyAlignment="1" applyProtection="1">
      <alignment horizontal="left" vertical="center"/>
      <protection/>
    </xf>
    <xf numFmtId="0" fontId="3" fillId="0" borderId="14" xfId="0" applyNumberFormat="1" applyFont="1" applyBorder="1" applyAlignment="1" applyProtection="1">
      <alignment horizontal="left" vertical="center" wrapText="1"/>
      <protection/>
    </xf>
    <xf numFmtId="3" fontId="21" fillId="0" borderId="17" xfId="0" applyNumberFormat="1" applyFont="1" applyBorder="1" applyAlignment="1" applyProtection="1">
      <alignment horizontal="left" vertical="center"/>
      <protection/>
    </xf>
    <xf numFmtId="9" fontId="21" fillId="0" borderId="25" xfId="0" applyNumberFormat="1" applyFont="1" applyBorder="1" applyAlignment="1" applyProtection="1">
      <alignment horizontal="left" vertical="center"/>
      <protection/>
    </xf>
    <xf numFmtId="3" fontId="21" fillId="0" borderId="25" xfId="0" applyNumberFormat="1" applyFont="1" applyBorder="1" applyAlignment="1" applyProtection="1">
      <alignment horizontal="left" vertical="center"/>
      <protection/>
    </xf>
    <xf numFmtId="3" fontId="7" fillId="0" borderId="25" xfId="0" applyNumberFormat="1" applyFont="1" applyBorder="1" applyAlignment="1" applyProtection="1">
      <alignment horizontal="left" vertical="center" wrapText="1"/>
      <protection/>
    </xf>
    <xf numFmtId="0" fontId="3" fillId="0" borderId="29" xfId="0" applyNumberFormat="1" applyFont="1" applyBorder="1" applyAlignment="1" applyProtection="1">
      <alignment horizontal="left" vertical="center"/>
      <protection/>
    </xf>
    <xf numFmtId="4" fontId="7" fillId="0" borderId="25" xfId="0" applyNumberFormat="1" applyFont="1" applyBorder="1" applyAlignment="1" applyProtection="1">
      <alignment horizontal="left" vertical="center" wrapText="1"/>
      <protection/>
    </xf>
    <xf numFmtId="0" fontId="1" fillId="0" borderId="29" xfId="0" applyNumberFormat="1" applyFont="1" applyBorder="1" applyAlignment="1" applyProtection="1">
      <alignment horizontal="left" vertical="center" wrapText="1"/>
      <protection/>
    </xf>
    <xf numFmtId="0" fontId="1" fillId="0" borderId="29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67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64" fillId="0" borderId="28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/>
    </xf>
    <xf numFmtId="0" fontId="6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5" fillId="0" borderId="29" xfId="0" applyNumberFormat="1" applyFont="1" applyBorder="1" applyAlignment="1" applyProtection="1">
      <alignment horizontal="left" vertical="center" wrapText="1"/>
      <protection/>
    </xf>
    <xf numFmtId="0" fontId="68" fillId="0" borderId="0" xfId="0" applyFont="1" applyAlignment="1">
      <alignment horizontal="right" vertical="center"/>
    </xf>
    <xf numFmtId="0" fontId="1" fillId="0" borderId="14" xfId="0" applyNumberFormat="1" applyFont="1" applyBorder="1" applyAlignment="1" applyProtection="1">
      <alignment horizontal="left" vertical="center" wrapText="1"/>
      <protection/>
    </xf>
    <xf numFmtId="3" fontId="7" fillId="0" borderId="17" xfId="0" applyNumberFormat="1" applyFont="1" applyBorder="1" applyAlignment="1" applyProtection="1">
      <alignment horizontal="left" vertical="center" wrapText="1"/>
      <protection/>
    </xf>
    <xf numFmtId="0" fontId="1" fillId="0" borderId="16" xfId="0" applyNumberFormat="1" applyFont="1" applyBorder="1" applyAlignment="1" applyProtection="1">
      <alignment horizontal="left" vertical="center"/>
      <protection/>
    </xf>
    <xf numFmtId="3" fontId="7" fillId="0" borderId="19" xfId="0" applyNumberFormat="1" applyFont="1" applyBorder="1" applyAlignment="1" applyProtection="1">
      <alignment horizontal="left" vertical="center" wrapText="1"/>
      <protection/>
    </xf>
    <xf numFmtId="0" fontId="3" fillId="0" borderId="16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3" fillId="0" borderId="16" xfId="0" applyNumberFormat="1" applyFont="1" applyBorder="1" applyAlignment="1" applyProtection="1">
      <alignment horizontal="left" vertical="center" wrapText="1"/>
      <protection/>
    </xf>
    <xf numFmtId="0" fontId="70" fillId="0" borderId="0" xfId="0" applyFont="1" applyAlignment="1">
      <alignment horizont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/>
    </xf>
    <xf numFmtId="0" fontId="70" fillId="0" borderId="0" xfId="0" applyFont="1" applyAlignment="1" applyProtection="1">
      <alignment horizontal="center"/>
      <protection/>
    </xf>
    <xf numFmtId="0" fontId="0" fillId="0" borderId="3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3" fontId="0" fillId="0" borderId="31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6" fillId="0" borderId="21" xfId="0" applyNumberFormat="1" applyFont="1" applyBorder="1" applyAlignment="1" applyProtection="1">
      <alignment horizontal="left" vertical="center" wrapText="1"/>
      <protection locked="0"/>
    </xf>
    <xf numFmtId="9" fontId="21" fillId="0" borderId="25" xfId="0" applyNumberFormat="1" applyFont="1" applyBorder="1" applyAlignment="1" applyProtection="1">
      <alignment horizontal="left" vertical="center" wrapText="1"/>
      <protection/>
    </xf>
    <xf numFmtId="9" fontId="21" fillId="0" borderId="25" xfId="59" applyFont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/>
      <protection locked="0"/>
    </xf>
    <xf numFmtId="0" fontId="14" fillId="33" borderId="23" xfId="0" applyNumberFormat="1" applyFont="1" applyFill="1" applyBorder="1" applyAlignment="1" applyProtection="1">
      <alignment horizontal="center"/>
      <protection locked="0"/>
    </xf>
    <xf numFmtId="0" fontId="14" fillId="33" borderId="24" xfId="0" applyNumberFormat="1" applyFont="1" applyFill="1" applyBorder="1" applyAlignment="1" applyProtection="1">
      <alignment horizontal="center"/>
      <protection locked="0"/>
    </xf>
    <xf numFmtId="0" fontId="14" fillId="33" borderId="10" xfId="0" applyNumberFormat="1" applyFont="1" applyFill="1" applyBorder="1" applyAlignment="1" applyProtection="1">
      <alignment horizontal="center"/>
      <protection locked="0"/>
    </xf>
    <xf numFmtId="0" fontId="14" fillId="33" borderId="13" xfId="0" applyNumberFormat="1" applyFont="1" applyFill="1" applyBorder="1" applyAlignment="1" applyProtection="1">
      <alignment horizontal="center"/>
      <protection locked="0"/>
    </xf>
    <xf numFmtId="0" fontId="14" fillId="33" borderId="23" xfId="0" applyFont="1" applyFill="1" applyBorder="1" applyAlignment="1" applyProtection="1">
      <alignment horizontal="center" vertical="center" wrapText="1"/>
      <protection/>
    </xf>
    <xf numFmtId="0" fontId="14" fillId="33" borderId="24" xfId="0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4" fillId="33" borderId="13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wrapText="1" indent="1"/>
      <protection/>
    </xf>
    <xf numFmtId="0" fontId="6" fillId="0" borderId="13" xfId="0" applyFont="1" applyBorder="1" applyAlignment="1" applyProtection="1">
      <alignment horizontal="left" wrapText="1" indent="1"/>
      <protection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9" fillId="34" borderId="13" xfId="0" applyFont="1" applyFill="1" applyBorder="1" applyAlignment="1" applyProtection="1">
      <alignment horizontal="center" vertical="center" wrapText="1"/>
      <protection locked="0"/>
    </xf>
    <xf numFmtId="0" fontId="14" fillId="35" borderId="23" xfId="0" applyFont="1" applyFill="1" applyBorder="1" applyAlignment="1" applyProtection="1">
      <alignment horizontal="center" vertical="center" wrapText="1"/>
      <protection/>
    </xf>
    <xf numFmtId="0" fontId="14" fillId="35" borderId="24" xfId="0" applyFont="1" applyFill="1" applyBorder="1" applyAlignment="1" applyProtection="1">
      <alignment horizontal="center" vertical="center" wrapText="1"/>
      <protection/>
    </xf>
    <xf numFmtId="0" fontId="14" fillId="35" borderId="10" xfId="0" applyFont="1" applyFill="1" applyBorder="1" applyAlignment="1" applyProtection="1">
      <alignment horizontal="center" vertical="center" wrapText="1"/>
      <protection/>
    </xf>
    <xf numFmtId="0" fontId="14" fillId="35" borderId="13" xfId="0" applyFont="1" applyFill="1" applyBorder="1" applyAlignment="1" applyProtection="1">
      <alignment horizontal="center" vertical="center" wrapText="1"/>
      <protection/>
    </xf>
    <xf numFmtId="0" fontId="14" fillId="35" borderId="23" xfId="0" applyNumberFormat="1" applyFont="1" applyFill="1" applyBorder="1" applyAlignment="1" applyProtection="1">
      <alignment horizontal="center"/>
      <protection locked="0"/>
    </xf>
    <xf numFmtId="0" fontId="14" fillId="35" borderId="24" xfId="0" applyNumberFormat="1" applyFont="1" applyFill="1" applyBorder="1" applyAlignment="1" applyProtection="1">
      <alignment horizontal="center"/>
      <protection locked="0"/>
    </xf>
    <xf numFmtId="0" fontId="14" fillId="35" borderId="10" xfId="0" applyNumberFormat="1" applyFont="1" applyFill="1" applyBorder="1" applyAlignment="1" applyProtection="1">
      <alignment horizontal="center"/>
      <protection locked="0"/>
    </xf>
    <xf numFmtId="0" fontId="14" fillId="35" borderId="13" xfId="0" applyNumberFormat="1" applyFont="1" applyFill="1" applyBorder="1" applyAlignment="1" applyProtection="1">
      <alignment horizontal="center"/>
      <protection locked="0"/>
    </xf>
    <xf numFmtId="0" fontId="71" fillId="36" borderId="32" xfId="0" applyFont="1" applyFill="1" applyBorder="1" applyAlignment="1">
      <alignment horizontal="center"/>
    </xf>
    <xf numFmtId="0" fontId="71" fillId="33" borderId="32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 vertical="top" wrapText="1"/>
    </xf>
    <xf numFmtId="0" fontId="72" fillId="37" borderId="0" xfId="0" applyNumberFormat="1" applyFont="1" applyFill="1" applyBorder="1" applyAlignment="1">
      <alignment horizontal="center" vertical="center" wrapText="1"/>
    </xf>
    <xf numFmtId="0" fontId="73" fillId="0" borderId="0" xfId="0" applyNumberFormat="1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wrapText="1"/>
    </xf>
    <xf numFmtId="0" fontId="74" fillId="0" borderId="0" xfId="0" applyFont="1" applyAlignment="1">
      <alignment horizontal="left" wrapText="1"/>
    </xf>
    <xf numFmtId="0" fontId="66" fillId="0" borderId="0" xfId="0" applyFont="1" applyAlignment="1">
      <alignment horizontal="left" wrapText="1"/>
    </xf>
    <xf numFmtId="0" fontId="75" fillId="0" borderId="0" xfId="0" applyFont="1" applyAlignment="1">
      <alignment horizontal="left" wrapText="1"/>
    </xf>
    <xf numFmtId="0" fontId="76" fillId="0" borderId="0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24" fillId="0" borderId="29" xfId="0" applyNumberFormat="1" applyFont="1" applyBorder="1" applyAlignment="1" applyProtection="1">
      <alignment horizontal="center" vertical="center" wrapText="1"/>
      <protection/>
    </xf>
    <xf numFmtId="0" fontId="24" fillId="0" borderId="25" xfId="0" applyNumberFormat="1" applyFont="1" applyBorder="1" applyAlignment="1" applyProtection="1">
      <alignment horizontal="center" vertical="center" wrapText="1"/>
      <protection/>
    </xf>
    <xf numFmtId="0" fontId="72" fillId="37" borderId="0" xfId="0" applyNumberFormat="1" applyFont="1" applyFill="1" applyBorder="1" applyAlignment="1">
      <alignment horizontal="center" vertical="top" wrapText="1"/>
    </xf>
    <xf numFmtId="0" fontId="73" fillId="0" borderId="0" xfId="0" applyNumberFormat="1" applyFont="1" applyFill="1" applyBorder="1" applyAlignment="1">
      <alignment horizontal="center" vertical="top" wrapText="1"/>
    </xf>
    <xf numFmtId="0" fontId="77" fillId="0" borderId="0" xfId="0" applyFont="1" applyAlignment="1">
      <alignment horizontal="left" wrapText="1"/>
    </xf>
    <xf numFmtId="0" fontId="76" fillId="0" borderId="29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  <xf numFmtId="0" fontId="76" fillId="0" borderId="25" xfId="0" applyFont="1" applyBorder="1" applyAlignment="1">
      <alignment horizontal="center" vertical="center" wrapText="1"/>
    </xf>
    <xf numFmtId="0" fontId="77" fillId="0" borderId="0" xfId="0" applyFont="1" applyAlignment="1" applyProtection="1">
      <alignment horizontal="center" vertical="center" wrapText="1"/>
      <protection/>
    </xf>
    <xf numFmtId="0" fontId="66" fillId="0" borderId="0" xfId="0" applyFont="1" applyAlignment="1" applyProtection="1">
      <alignment horizontal="left" wrapText="1"/>
      <protection/>
    </xf>
    <xf numFmtId="0" fontId="75" fillId="0" borderId="0" xfId="0" applyFont="1" applyAlignment="1" applyProtection="1">
      <alignment horizontal="center" vertical="center" wrapText="1"/>
      <protection/>
    </xf>
    <xf numFmtId="0" fontId="17" fillId="38" borderId="29" xfId="0" applyFont="1" applyFill="1" applyBorder="1" applyAlignment="1">
      <alignment horizontal="left" vertical="top" wrapText="1"/>
    </xf>
    <xf numFmtId="0" fontId="17" fillId="38" borderId="33" xfId="0" applyFont="1" applyFill="1" applyBorder="1" applyAlignment="1">
      <alignment horizontal="left" vertical="top" wrapText="1"/>
    </xf>
    <xf numFmtId="0" fontId="17" fillId="38" borderId="25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67" fillId="0" borderId="34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77" fillId="0" borderId="0" xfId="0" applyNumberFormat="1" applyFont="1" applyFill="1" applyBorder="1" applyAlignment="1" applyProtection="1">
      <alignment horizontal="left" vertical="center" wrapText="1"/>
      <protection/>
    </xf>
    <xf numFmtId="0" fontId="75" fillId="0" borderId="0" xfId="0" applyFont="1" applyAlignment="1" applyProtection="1">
      <alignment horizontal="left" wrapText="1"/>
      <protection/>
    </xf>
    <xf numFmtId="0" fontId="76" fillId="0" borderId="14" xfId="0" applyFont="1" applyBorder="1" applyAlignment="1">
      <alignment horizontal="center" vertical="center" wrapText="1"/>
    </xf>
    <xf numFmtId="0" fontId="76" fillId="0" borderId="39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3" fillId="0" borderId="29" xfId="0" applyNumberFormat="1" applyFont="1" applyBorder="1" applyAlignment="1" applyProtection="1">
      <alignment horizontal="left" vertical="center" wrapText="1"/>
      <protection/>
    </xf>
    <xf numFmtId="0" fontId="3" fillId="0" borderId="33" xfId="0" applyNumberFormat="1" applyFont="1" applyBorder="1" applyAlignment="1" applyProtection="1">
      <alignment horizontal="left" vertical="center" wrapText="1"/>
      <protection/>
    </xf>
    <xf numFmtId="0" fontId="71" fillId="33" borderId="0" xfId="0" applyFont="1" applyFill="1" applyBorder="1" applyAlignment="1">
      <alignment horizontal="center"/>
    </xf>
    <xf numFmtId="0" fontId="64" fillId="0" borderId="29" xfId="0" applyFont="1" applyBorder="1" applyAlignment="1">
      <alignment horizontal="center"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0" fillId="0" borderId="29" xfId="0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0.emf" /><Relationship Id="rId3" Type="http://schemas.openxmlformats.org/officeDocument/2006/relationships/image" Target="../media/image20.emf" /><Relationship Id="rId4" Type="http://schemas.openxmlformats.org/officeDocument/2006/relationships/image" Target="../media/image12.emf" /><Relationship Id="rId5" Type="http://schemas.openxmlformats.org/officeDocument/2006/relationships/image" Target="../media/image1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5.emf" /><Relationship Id="rId3" Type="http://schemas.openxmlformats.org/officeDocument/2006/relationships/image" Target="../media/image2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4.emf" /><Relationship Id="rId3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11</xdr:row>
      <xdr:rowOff>161925</xdr:rowOff>
    </xdr:from>
    <xdr:to>
      <xdr:col>3</xdr:col>
      <xdr:colOff>1647825</xdr:colOff>
      <xdr:row>12</xdr:row>
      <xdr:rowOff>295275</xdr:rowOff>
    </xdr:to>
    <xdr:pic>
      <xdr:nvPicPr>
        <xdr:cNvPr id="1" name="cmdEnterDa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2933700"/>
          <a:ext cx="1619250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390525</xdr:colOff>
      <xdr:row>11</xdr:row>
      <xdr:rowOff>142875</xdr:rowOff>
    </xdr:from>
    <xdr:to>
      <xdr:col>5</xdr:col>
      <xdr:colOff>1181100</xdr:colOff>
      <xdr:row>13</xdr:row>
      <xdr:rowOff>38100</xdr:rowOff>
    </xdr:to>
    <xdr:pic>
      <xdr:nvPicPr>
        <xdr:cNvPr id="2" name="cmdEditDa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2914650"/>
          <a:ext cx="1400175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1304925</xdr:colOff>
      <xdr:row>26</xdr:row>
      <xdr:rowOff>85725</xdr:rowOff>
    </xdr:from>
    <xdr:to>
      <xdr:col>5</xdr:col>
      <xdr:colOff>800100</xdr:colOff>
      <xdr:row>28</xdr:row>
      <xdr:rowOff>228600</xdr:rowOff>
    </xdr:to>
    <xdr:pic>
      <xdr:nvPicPr>
        <xdr:cNvPr id="3" name="cmdGoToSurveyDesig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6448425"/>
          <a:ext cx="1828800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581025</xdr:colOff>
      <xdr:row>23</xdr:row>
      <xdr:rowOff>85725</xdr:rowOff>
    </xdr:from>
    <xdr:to>
      <xdr:col>3</xdr:col>
      <xdr:colOff>1181100</xdr:colOff>
      <xdr:row>25</xdr:row>
      <xdr:rowOff>38100</xdr:rowOff>
    </xdr:to>
    <xdr:pic>
      <xdr:nvPicPr>
        <xdr:cNvPr id="4" name="cmdTASManua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66875" y="5867400"/>
          <a:ext cx="3009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22</xdr:row>
      <xdr:rowOff>47625</xdr:rowOff>
    </xdr:from>
    <xdr:to>
      <xdr:col>6</xdr:col>
      <xdr:colOff>1171575</xdr:colOff>
      <xdr:row>25</xdr:row>
      <xdr:rowOff>76200</xdr:rowOff>
    </xdr:to>
    <xdr:pic>
      <xdr:nvPicPr>
        <xdr:cNvPr id="5" name="cmdSTH_TASManua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15075" y="5762625"/>
          <a:ext cx="3048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19</xdr:row>
      <xdr:rowOff>257175</xdr:rowOff>
    </xdr:from>
    <xdr:to>
      <xdr:col>2</xdr:col>
      <xdr:colOff>323850</xdr:colOff>
      <xdr:row>19</xdr:row>
      <xdr:rowOff>676275</xdr:rowOff>
    </xdr:to>
    <xdr:pic>
      <xdr:nvPicPr>
        <xdr:cNvPr id="1" name="cmdGenLists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7134225"/>
          <a:ext cx="2952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1038225</xdr:colOff>
      <xdr:row>19</xdr:row>
      <xdr:rowOff>238125</xdr:rowOff>
    </xdr:from>
    <xdr:to>
      <xdr:col>5</xdr:col>
      <xdr:colOff>962025</xdr:colOff>
      <xdr:row>19</xdr:row>
      <xdr:rowOff>619125</xdr:rowOff>
    </xdr:to>
    <xdr:pic>
      <xdr:nvPicPr>
        <xdr:cNvPr id="2" name="cmdGenListsSTH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77050" y="7115175"/>
          <a:ext cx="3390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19</xdr:row>
      <xdr:rowOff>523875</xdr:rowOff>
    </xdr:from>
    <xdr:to>
      <xdr:col>2</xdr:col>
      <xdr:colOff>333375</xdr:colOff>
      <xdr:row>19</xdr:row>
      <xdr:rowOff>962025</xdr:rowOff>
    </xdr:to>
    <xdr:pic>
      <xdr:nvPicPr>
        <xdr:cNvPr id="1" name="cmdGenLists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7562850"/>
          <a:ext cx="3000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</xdr:row>
      <xdr:rowOff>85725</xdr:rowOff>
    </xdr:from>
    <xdr:to>
      <xdr:col>4</xdr:col>
      <xdr:colOff>533400</xdr:colOff>
      <xdr:row>19</xdr:row>
      <xdr:rowOff>561975</xdr:rowOff>
    </xdr:to>
    <xdr:pic>
      <xdr:nvPicPr>
        <xdr:cNvPr id="2" name="cmdSelectE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7124700"/>
          <a:ext cx="2209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1266825</xdr:colOff>
      <xdr:row>19</xdr:row>
      <xdr:rowOff>600075</xdr:rowOff>
    </xdr:from>
    <xdr:to>
      <xdr:col>5</xdr:col>
      <xdr:colOff>1095375</xdr:colOff>
      <xdr:row>20</xdr:row>
      <xdr:rowOff>66675</xdr:rowOff>
    </xdr:to>
    <xdr:pic>
      <xdr:nvPicPr>
        <xdr:cNvPr id="3" name="cmdGenListsSTH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8050" y="7639050"/>
          <a:ext cx="3295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19</xdr:row>
      <xdr:rowOff>409575</xdr:rowOff>
    </xdr:from>
    <xdr:to>
      <xdr:col>2</xdr:col>
      <xdr:colOff>457200</xdr:colOff>
      <xdr:row>19</xdr:row>
      <xdr:rowOff>828675</xdr:rowOff>
    </xdr:to>
    <xdr:pic>
      <xdr:nvPicPr>
        <xdr:cNvPr id="1" name="cmdGenLists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7791450"/>
          <a:ext cx="3067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19</xdr:row>
      <xdr:rowOff>19050</xdr:rowOff>
    </xdr:from>
    <xdr:to>
      <xdr:col>4</xdr:col>
      <xdr:colOff>619125</xdr:colOff>
      <xdr:row>19</xdr:row>
      <xdr:rowOff>504825</xdr:rowOff>
    </xdr:to>
    <xdr:pic>
      <xdr:nvPicPr>
        <xdr:cNvPr id="2" name="cmdSelectSchool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00925"/>
          <a:ext cx="2171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1266825</xdr:colOff>
      <xdr:row>19</xdr:row>
      <xdr:rowOff>485775</xdr:rowOff>
    </xdr:from>
    <xdr:to>
      <xdr:col>5</xdr:col>
      <xdr:colOff>904875</xdr:colOff>
      <xdr:row>20</xdr:row>
      <xdr:rowOff>28575</xdr:rowOff>
    </xdr:to>
    <xdr:pic>
      <xdr:nvPicPr>
        <xdr:cNvPr id="3" name="cmdGenListsSTH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7867650"/>
          <a:ext cx="3105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1257300</xdr:colOff>
      <xdr:row>19</xdr:row>
      <xdr:rowOff>514350</xdr:rowOff>
    </xdr:from>
    <xdr:to>
      <xdr:col>2</xdr:col>
      <xdr:colOff>819150</xdr:colOff>
      <xdr:row>19</xdr:row>
      <xdr:rowOff>885825</xdr:rowOff>
    </xdr:to>
    <xdr:pic>
      <xdr:nvPicPr>
        <xdr:cNvPr id="1" name="cmdGenLists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7019925"/>
          <a:ext cx="2943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1266825</xdr:colOff>
      <xdr:row>19</xdr:row>
      <xdr:rowOff>485775</xdr:rowOff>
    </xdr:from>
    <xdr:to>
      <xdr:col>5</xdr:col>
      <xdr:colOff>1095375</xdr:colOff>
      <xdr:row>19</xdr:row>
      <xdr:rowOff>857250</xdr:rowOff>
    </xdr:to>
    <xdr:pic>
      <xdr:nvPicPr>
        <xdr:cNvPr id="2" name="cmdGenListsSTH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0375" y="6991350"/>
          <a:ext cx="3295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2</xdr:row>
      <xdr:rowOff>47625</xdr:rowOff>
    </xdr:from>
    <xdr:to>
      <xdr:col>2</xdr:col>
      <xdr:colOff>2247900</xdr:colOff>
      <xdr:row>4</xdr:row>
      <xdr:rowOff>9525</xdr:rowOff>
    </xdr:to>
    <xdr:pic>
      <xdr:nvPicPr>
        <xdr:cNvPr id="1" name="cmdRandomiz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276350"/>
          <a:ext cx="1905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5</xdr:row>
      <xdr:rowOff>0</xdr:rowOff>
    </xdr:from>
    <xdr:to>
      <xdr:col>2</xdr:col>
      <xdr:colOff>2228850</xdr:colOff>
      <xdr:row>5</xdr:row>
      <xdr:rowOff>361950</xdr:rowOff>
    </xdr:to>
    <xdr:pic>
      <xdr:nvPicPr>
        <xdr:cNvPr id="2" name="cmdReturnPreviousPa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819275"/>
          <a:ext cx="1876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2</xdr:row>
      <xdr:rowOff>47625</xdr:rowOff>
    </xdr:from>
    <xdr:to>
      <xdr:col>2</xdr:col>
      <xdr:colOff>2247900</xdr:colOff>
      <xdr:row>4</xdr:row>
      <xdr:rowOff>9525</xdr:rowOff>
    </xdr:to>
    <xdr:pic>
      <xdr:nvPicPr>
        <xdr:cNvPr id="1" name="cmdRandomiz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276350"/>
          <a:ext cx="1905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5</xdr:row>
      <xdr:rowOff>0</xdr:rowOff>
    </xdr:from>
    <xdr:to>
      <xdr:col>2</xdr:col>
      <xdr:colOff>2228850</xdr:colOff>
      <xdr:row>5</xdr:row>
      <xdr:rowOff>361950</xdr:rowOff>
    </xdr:to>
    <xdr:pic>
      <xdr:nvPicPr>
        <xdr:cNvPr id="2" name="cmdReturnPreviousPa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819275"/>
          <a:ext cx="1876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1247775</xdr:colOff>
      <xdr:row>19</xdr:row>
      <xdr:rowOff>85725</xdr:rowOff>
    </xdr:from>
    <xdr:to>
      <xdr:col>5</xdr:col>
      <xdr:colOff>171450</xdr:colOff>
      <xdr:row>20</xdr:row>
      <xdr:rowOff>238125</xdr:rowOff>
    </xdr:to>
    <xdr:pic>
      <xdr:nvPicPr>
        <xdr:cNvPr id="1" name="cmdGenListsSTH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734175"/>
          <a:ext cx="2390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885825</xdr:colOff>
      <xdr:row>19</xdr:row>
      <xdr:rowOff>95250</xdr:rowOff>
    </xdr:from>
    <xdr:to>
      <xdr:col>1</xdr:col>
      <xdr:colOff>3371850</xdr:colOff>
      <xdr:row>19</xdr:row>
      <xdr:rowOff>504825</xdr:rowOff>
    </xdr:to>
    <xdr:pic>
      <xdr:nvPicPr>
        <xdr:cNvPr id="1" name="cmdGenLists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7248525"/>
          <a:ext cx="2486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38"/>
  <sheetViews>
    <sheetView showGridLines="0" tabSelected="1" zoomScale="95" zoomScaleNormal="95" zoomScalePageLayoutView="0" workbookViewId="0" topLeftCell="A1">
      <selection activeCell="A30" sqref="A30:IV30"/>
    </sheetView>
  </sheetViews>
  <sheetFormatPr defaultColWidth="0" defaultRowHeight="15" zeroHeight="1"/>
  <cols>
    <col min="1" max="1" width="9.140625" style="0" customWidth="1"/>
    <col min="2" max="2" width="7.140625" style="0" customWidth="1"/>
    <col min="3" max="3" width="36.140625" style="0" customWidth="1"/>
    <col min="4" max="4" width="25.8515625" style="8" customWidth="1"/>
    <col min="5" max="5" width="9.140625" style="0" customWidth="1"/>
    <col min="6" max="6" width="35.421875" style="0" customWidth="1"/>
    <col min="7" max="7" width="22.140625" style="0" customWidth="1"/>
    <col min="8" max="8" width="9.140625" style="0" customWidth="1"/>
    <col min="9" max="16384" width="9.140625" style="0" hidden="1" customWidth="1"/>
  </cols>
  <sheetData>
    <row r="1" spans="3:7" s="38" customFormat="1" ht="23.25">
      <c r="C1" s="145"/>
      <c r="D1" s="145"/>
      <c r="E1" s="145"/>
      <c r="F1" s="145"/>
      <c r="G1" s="145"/>
    </row>
    <row r="2" spans="3:4" ht="15.75" thickBot="1">
      <c r="C2" s="38"/>
      <c r="D2" s="57"/>
    </row>
    <row r="3" spans="3:7" ht="27" customHeight="1">
      <c r="C3" s="162" t="s">
        <v>50</v>
      </c>
      <c r="D3" s="163"/>
      <c r="F3" s="146" t="s">
        <v>51</v>
      </c>
      <c r="G3" s="147"/>
    </row>
    <row r="4" spans="3:7" s="38" customFormat="1" ht="17.25" customHeight="1">
      <c r="C4" s="164"/>
      <c r="D4" s="165"/>
      <c r="F4" s="148"/>
      <c r="G4" s="149"/>
    </row>
    <row r="5" spans="3:7" ht="6" customHeight="1">
      <c r="C5" s="10" t="s">
        <v>22</v>
      </c>
      <c r="D5" s="28"/>
      <c r="F5" s="65"/>
      <c r="G5" s="66"/>
    </row>
    <row r="6" spans="3:7" ht="28.5" customHeight="1">
      <c r="C6" s="76" t="s">
        <v>49</v>
      </c>
      <c r="D6" s="74"/>
      <c r="F6" s="58" t="s">
        <v>49</v>
      </c>
      <c r="G6" s="74"/>
    </row>
    <row r="7" spans="3:7" ht="30.75" customHeight="1">
      <c r="C7" s="78" t="s">
        <v>56</v>
      </c>
      <c r="D7" s="79"/>
      <c r="F7" s="80" t="s">
        <v>56</v>
      </c>
      <c r="G7" s="79"/>
    </row>
    <row r="8" spans="3:7" ht="18.75" customHeight="1">
      <c r="C8" s="140" t="s">
        <v>141</v>
      </c>
      <c r="D8" s="79"/>
      <c r="F8" s="81" t="s">
        <v>141</v>
      </c>
      <c r="G8" s="79"/>
    </row>
    <row r="9" spans="3:7" ht="22.5" customHeight="1">
      <c r="C9" s="77" t="s">
        <v>52</v>
      </c>
      <c r="D9" s="13"/>
      <c r="F9" s="48" t="s">
        <v>53</v>
      </c>
      <c r="G9" s="75"/>
    </row>
    <row r="10" spans="2:8" ht="7.5" customHeight="1" thickBot="1">
      <c r="B10" s="69"/>
      <c r="C10" s="11"/>
      <c r="D10" s="12"/>
      <c r="E10" s="69"/>
      <c r="F10" s="67"/>
      <c r="G10" s="68"/>
      <c r="H10" s="69"/>
    </row>
    <row r="11" spans="3:4" ht="21" customHeight="1">
      <c r="C11" t="s">
        <v>142</v>
      </c>
      <c r="D11"/>
    </row>
    <row r="12" ht="39.75" customHeight="1">
      <c r="D12"/>
    </row>
    <row r="13" spans="3:8" s="38" customFormat="1" ht="25.5" customHeight="1">
      <c r="C13"/>
      <c r="D13"/>
      <c r="E13"/>
      <c r="F13"/>
      <c r="G13"/>
      <c r="H13"/>
    </row>
    <row r="14" s="29" customFormat="1" ht="15">
      <c r="C14" s="30"/>
    </row>
    <row r="15" s="29" customFormat="1" ht="9" customHeight="1" thickBot="1"/>
    <row r="16" spans="3:7" s="29" customFormat="1" ht="24" customHeight="1">
      <c r="C16" s="158" t="s">
        <v>54</v>
      </c>
      <c r="D16" s="159"/>
      <c r="F16" s="150" t="s">
        <v>55</v>
      </c>
      <c r="G16" s="151"/>
    </row>
    <row r="17" spans="3:7" s="29" customFormat="1" ht="23.25" customHeight="1">
      <c r="C17" s="160"/>
      <c r="D17" s="161"/>
      <c r="F17" s="152"/>
      <c r="G17" s="153"/>
    </row>
    <row r="18" spans="3:7" s="29" customFormat="1" ht="15">
      <c r="C18" s="31"/>
      <c r="D18" s="32"/>
      <c r="F18" s="31"/>
      <c r="G18" s="32"/>
    </row>
    <row r="19" spans="3:7" s="29" customFormat="1" ht="15" customHeight="1">
      <c r="C19" s="154" t="s">
        <v>10</v>
      </c>
      <c r="D19" s="155"/>
      <c r="F19" s="154" t="s">
        <v>10</v>
      </c>
      <c r="G19" s="155"/>
    </row>
    <row r="20" spans="3:7" s="29" customFormat="1" ht="15.75" customHeight="1">
      <c r="C20" s="154"/>
      <c r="D20" s="155"/>
      <c r="F20" s="154"/>
      <c r="G20" s="155"/>
    </row>
    <row r="21" spans="3:7" s="29" customFormat="1" ht="34.5" customHeight="1">
      <c r="C21" s="156" t="s">
        <v>115</v>
      </c>
      <c r="D21" s="157"/>
      <c r="F21" s="156" t="s">
        <v>115</v>
      </c>
      <c r="G21" s="157"/>
    </row>
    <row r="22" spans="3:7" s="29" customFormat="1" ht="15">
      <c r="C22" s="31"/>
      <c r="D22" s="32"/>
      <c r="F22" s="31"/>
      <c r="G22" s="32"/>
    </row>
    <row r="23" spans="3:7" s="29" customFormat="1" ht="5.25" customHeight="1">
      <c r="C23" s="31"/>
      <c r="D23" s="32"/>
      <c r="F23" s="31"/>
      <c r="G23" s="32"/>
    </row>
    <row r="24" spans="3:7" s="29" customFormat="1" ht="15">
      <c r="C24" s="31"/>
      <c r="D24" s="32"/>
      <c r="F24" s="31"/>
      <c r="G24" s="32"/>
    </row>
    <row r="25" spans="3:7" s="29" customFormat="1" ht="15">
      <c r="C25" s="31"/>
      <c r="D25" s="32"/>
      <c r="F25" s="31"/>
      <c r="G25" s="32"/>
    </row>
    <row r="26" spans="3:7" s="29" customFormat="1" ht="15.75" thickBot="1">
      <c r="C26" s="31"/>
      <c r="D26" s="32"/>
      <c r="F26" s="31"/>
      <c r="G26" s="32"/>
    </row>
    <row r="27" spans="3:7" s="29" customFormat="1" ht="15">
      <c r="C27" s="70"/>
      <c r="D27" s="70"/>
      <c r="F27" s="70"/>
      <c r="G27" s="70"/>
    </row>
    <row r="28" spans="3:7" s="29" customFormat="1" ht="24" customHeight="1">
      <c r="C28" s="71"/>
      <c r="D28" s="72"/>
      <c r="F28" s="71"/>
      <c r="G28" s="71"/>
    </row>
    <row r="29" spans="5:6" s="29" customFormat="1" ht="45" customHeight="1">
      <c r="E29" s="73" t="s">
        <v>143</v>
      </c>
      <c r="F29" s="73"/>
    </row>
    <row r="30" spans="3:9" ht="15" customHeight="1" hidden="1">
      <c r="C30" s="9"/>
      <c r="D30" s="9"/>
      <c r="E30" s="9"/>
      <c r="F30" s="9"/>
      <c r="G30" s="9"/>
      <c r="H30" s="9"/>
      <c r="I30" s="9"/>
    </row>
    <row r="31" spans="3:9" ht="15" hidden="1">
      <c r="C31" s="9"/>
      <c r="D31" s="9"/>
      <c r="E31" s="9"/>
      <c r="F31" s="9"/>
      <c r="G31" s="9"/>
      <c r="H31" s="9"/>
      <c r="I31" s="9"/>
    </row>
    <row r="32" spans="3:9" ht="15" hidden="1">
      <c r="C32" s="9"/>
      <c r="D32" s="9"/>
      <c r="E32" s="9"/>
      <c r="F32" s="9"/>
      <c r="G32" s="9"/>
      <c r="H32" s="9"/>
      <c r="I32" s="9"/>
    </row>
    <row r="33" spans="3:9" ht="15" hidden="1">
      <c r="C33" s="9"/>
      <c r="D33" s="9"/>
      <c r="E33" s="9"/>
      <c r="F33" s="9"/>
      <c r="G33" s="9"/>
      <c r="H33" s="9"/>
      <c r="I33" s="9"/>
    </row>
    <row r="34" spans="3:9" ht="15" hidden="1">
      <c r="C34" s="9"/>
      <c r="D34" s="9"/>
      <c r="E34" s="9"/>
      <c r="F34" s="9"/>
      <c r="G34" s="9"/>
      <c r="H34" s="9"/>
      <c r="I34" s="9"/>
    </row>
    <row r="35" spans="3:9" ht="15" hidden="1">
      <c r="C35" s="9"/>
      <c r="D35" s="9"/>
      <c r="E35" s="9"/>
      <c r="F35" s="9"/>
      <c r="G35" s="9"/>
      <c r="H35" s="9"/>
      <c r="I35" s="9"/>
    </row>
    <row r="36" spans="3:9" ht="15" hidden="1">
      <c r="C36" s="9"/>
      <c r="D36" s="9"/>
      <c r="E36" s="9"/>
      <c r="F36" s="9"/>
      <c r="G36" s="9"/>
      <c r="H36" s="9"/>
      <c r="I36" s="9"/>
    </row>
    <row r="37" spans="5:9" ht="15" hidden="1">
      <c r="E37" s="9"/>
      <c r="F37" s="9"/>
      <c r="G37" s="9"/>
      <c r="H37" s="9"/>
      <c r="I37" s="9"/>
    </row>
    <row r="38" spans="5:9" ht="15" hidden="1">
      <c r="E38" s="9"/>
      <c r="F38" s="9"/>
      <c r="G38" s="9"/>
      <c r="H38" s="9"/>
      <c r="I38" s="9"/>
    </row>
  </sheetData>
  <sheetProtection password="CFC9" sheet="1" objects="1" scenarios="1"/>
  <mergeCells count="11">
    <mergeCell ref="C4:D4"/>
    <mergeCell ref="C1:G1"/>
    <mergeCell ref="F3:G3"/>
    <mergeCell ref="F4:G4"/>
    <mergeCell ref="F16:G17"/>
    <mergeCell ref="F19:G20"/>
    <mergeCell ref="F21:G21"/>
    <mergeCell ref="C16:D17"/>
    <mergeCell ref="C21:D21"/>
    <mergeCell ref="C19:D20"/>
    <mergeCell ref="C3:D3"/>
  </mergeCells>
  <printOptions/>
  <pageMargins left="0.7" right="0.7" top="0.75" bottom="0.75" header="0.3" footer="0.3"/>
  <pageSetup horizontalDpi="600" verticalDpi="600" orientation="portrait" r:id="rId2"/>
  <headerFooter>
    <oddHeader>&amp;L2009&amp;CGLobal Program to Eliminate Lymphatic Filariasis&amp;RPhase II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H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00390625" style="0" customWidth="1"/>
    <col min="5" max="5" width="13.8515625" style="0" customWidth="1"/>
    <col min="6" max="6" width="12.00390625" style="0" customWidth="1"/>
    <col min="7" max="7" width="14.140625" style="0" customWidth="1"/>
    <col min="8" max="8" width="13.140625" style="0" customWidth="1"/>
  </cols>
  <sheetData>
    <row r="1" spans="1:8" ht="30" customHeight="1" thickBot="1">
      <c r="A1" s="194" t="s">
        <v>82</v>
      </c>
      <c r="B1" s="195"/>
      <c r="C1" s="196"/>
      <c r="D1" s="194" t="s">
        <v>83</v>
      </c>
      <c r="E1" s="195"/>
      <c r="F1" s="195"/>
      <c r="G1" s="195"/>
      <c r="H1" s="196"/>
    </row>
    <row r="2" spans="1:8" ht="27" customHeight="1">
      <c r="A2" s="192" t="s">
        <v>82</v>
      </c>
      <c r="B2" s="197" t="s">
        <v>84</v>
      </c>
      <c r="C2" s="192" t="s">
        <v>85</v>
      </c>
      <c r="D2" s="192" t="s">
        <v>86</v>
      </c>
      <c r="E2" s="92" t="s">
        <v>87</v>
      </c>
      <c r="F2" s="92" t="s">
        <v>89</v>
      </c>
      <c r="G2" s="92" t="s">
        <v>91</v>
      </c>
      <c r="H2" s="200" t="s">
        <v>93</v>
      </c>
    </row>
    <row r="3" spans="1:8" ht="18" thickBot="1">
      <c r="A3" s="193"/>
      <c r="B3" s="198"/>
      <c r="C3" s="193"/>
      <c r="D3" s="199"/>
      <c r="E3" s="92" t="s">
        <v>88</v>
      </c>
      <c r="F3" s="92" t="s">
        <v>90</v>
      </c>
      <c r="G3" s="92" t="s">
        <v>92</v>
      </c>
      <c r="H3" s="201"/>
    </row>
    <row r="4" spans="1:8" ht="15.75" thickBot="1">
      <c r="A4" s="94" t="s">
        <v>94</v>
      </c>
      <c r="B4" s="93" t="s">
        <v>95</v>
      </c>
      <c r="C4" s="137">
        <f>'Start Here'!G7</f>
        <v>0</v>
      </c>
      <c r="D4" s="138">
        <f>IF(C4=0,0,(IF(MOD(C4,50)=0,C4/50-1,ROUNDDOWN(C4*0.02,0))))</f>
        <v>0</v>
      </c>
      <c r="E4" s="139">
        <f>IF(C4=0,0,(IF(MOD(C4,50)=0,C4/50,(ROUNDDOWN(C4*0.02,0)+1))&amp;" - "&amp;IF(MOD(C4,10)=0,C4/10-1,ROUNDDOWN(C4*0.1,0))))</f>
        <v>0</v>
      </c>
      <c r="F4" s="139">
        <f>IF(C4=0,0,(IF(MOD(C4,10)=0,C4/10,(ROUNDDOWN(C4*0.1,0)+1))&amp;" - "&amp;IF(MOD(C4,5)=0,C4/5-1,ROUNDDOWN(C4*0.2,0))))</f>
        <v>0</v>
      </c>
      <c r="G4" s="138">
        <f>IF(C4=0,0,(IF(MOD(C4,5)=0,C4/5,(ROUNDDOWN(C4*0.2,0)+1))&amp;" - "&amp;IF(MOD(C4,2)=0,C4/2-1,ROUNDDOWN(C4*0.5,0))))</f>
        <v>0</v>
      </c>
      <c r="H4" s="139">
        <f>IF(C4=0,0,("&gt;="&amp;IF(MOD(C4,2)=0,C4/2,ROUNDDOWN(C4/2,0)+1)))</f>
        <v>0</v>
      </c>
    </row>
    <row r="5" spans="1:8" ht="15.75" thickBot="1">
      <c r="A5" s="192" t="s">
        <v>96</v>
      </c>
      <c r="B5" s="93">
        <v>400</v>
      </c>
      <c r="C5" s="93">
        <v>166</v>
      </c>
      <c r="D5" s="93">
        <v>0</v>
      </c>
      <c r="E5" s="95" t="s">
        <v>129</v>
      </c>
      <c r="F5" s="95" t="s">
        <v>130</v>
      </c>
      <c r="G5" s="96" t="s">
        <v>131</v>
      </c>
      <c r="H5" s="93" t="s">
        <v>132</v>
      </c>
    </row>
    <row r="6" spans="1:8" ht="15.75" thickBot="1">
      <c r="A6" s="193"/>
      <c r="B6" s="93">
        <v>1000</v>
      </c>
      <c r="C6" s="93">
        <v>166</v>
      </c>
      <c r="D6" s="93">
        <v>0</v>
      </c>
      <c r="E6" s="95" t="s">
        <v>129</v>
      </c>
      <c r="F6" s="95" t="s">
        <v>130</v>
      </c>
      <c r="G6" s="96" t="s">
        <v>131</v>
      </c>
      <c r="H6" s="93" t="s">
        <v>132</v>
      </c>
    </row>
    <row r="7" spans="1:8" ht="16.5" customHeight="1" thickBot="1">
      <c r="A7" s="135" t="s">
        <v>97</v>
      </c>
      <c r="B7" s="93">
        <v>1000</v>
      </c>
      <c r="C7" s="93">
        <v>332</v>
      </c>
      <c r="D7" s="93">
        <v>0</v>
      </c>
      <c r="E7" s="95" t="s">
        <v>125</v>
      </c>
      <c r="F7" s="96" t="s">
        <v>126</v>
      </c>
      <c r="G7" s="96" t="s">
        <v>127</v>
      </c>
      <c r="H7" s="96" t="s">
        <v>128</v>
      </c>
    </row>
    <row r="8" ht="15">
      <c r="A8" s="136"/>
    </row>
  </sheetData>
  <sheetProtection password="CFC9" sheet="1" objects="1" scenarios="1"/>
  <mergeCells count="8">
    <mergeCell ref="A5:A6"/>
    <mergeCell ref="A1:C1"/>
    <mergeCell ref="D1:H1"/>
    <mergeCell ref="A2:A3"/>
    <mergeCell ref="B2:B3"/>
    <mergeCell ref="C2:C3"/>
    <mergeCell ref="D2:D3"/>
    <mergeCell ref="H2:H3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CFC9" sheet="1" objects="1" scenarios="1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L505"/>
  <sheetViews>
    <sheetView showGridLines="0" zoomScalePageLayoutView="0" workbookViewId="0" topLeftCell="A1">
      <selection activeCell="B12" sqref="B12:F12"/>
    </sheetView>
  </sheetViews>
  <sheetFormatPr defaultColWidth="9.140625" defaultRowHeight="15"/>
  <cols>
    <col min="1" max="1" width="6.140625" style="0" customWidth="1"/>
    <col min="2" max="2" width="50.7109375" style="0" customWidth="1"/>
    <col min="3" max="3" width="20.7109375" style="0" customWidth="1"/>
    <col min="4" max="4" width="5.57421875" style="0" customWidth="1"/>
    <col min="5" max="5" width="52.00390625" style="0" customWidth="1"/>
    <col min="6" max="6" width="20.7109375" style="0" customWidth="1"/>
    <col min="8" max="12" width="10.57421875" style="0" customWidth="1"/>
  </cols>
  <sheetData>
    <row r="1" spans="2:3" ht="18.75">
      <c r="B1" s="85" t="str">
        <f>"Country Name:         "&amp;Scrap!B15</f>
        <v>Country Name:         </v>
      </c>
      <c r="C1" s="3"/>
    </row>
    <row r="2" spans="2:3" ht="18.75">
      <c r="B2" s="86" t="str">
        <f>"EU Name:                   "&amp;Scrap!B16</f>
        <v>EU Name:                   </v>
      </c>
      <c r="C2" s="3"/>
    </row>
    <row r="3" spans="2:3" ht="18.75">
      <c r="B3" s="86" t="str">
        <f>"Primary LF Vector:   "&amp;Scrap!B17</f>
        <v>Primary LF Vector:   </v>
      </c>
      <c r="C3" s="15"/>
    </row>
    <row r="4" ht="17.25" customHeight="1"/>
    <row r="5" spans="2:6" ht="21.75" customHeight="1">
      <c r="B5" s="166" t="s">
        <v>73</v>
      </c>
      <c r="C5" s="166"/>
      <c r="E5" s="167" t="s">
        <v>74</v>
      </c>
      <c r="F5" s="167"/>
    </row>
    <row r="6" spans="2:6" s="87" customFormat="1" ht="32.25" customHeight="1">
      <c r="B6" s="102" t="str">
        <f>'Start Here'!C6</f>
        <v>Target population </v>
      </c>
      <c r="C6" s="91">
        <f>'Start Here'!D6</f>
        <v>0</v>
      </c>
      <c r="E6" s="102" t="str">
        <f>'Start Here'!F6</f>
        <v>Target population </v>
      </c>
      <c r="F6" s="91" t="str">
        <f>IF('Start Here'!G6="","NA",'Start Here'!G6)</f>
        <v>NA</v>
      </c>
    </row>
    <row r="7" spans="2:6" s="87" customFormat="1" ht="32.25" customHeight="1">
      <c r="B7" s="103" t="str">
        <f>'Start Here'!C7</f>
        <v>Number of children in target population</v>
      </c>
      <c r="C7" s="104">
        <f>'Start Here'!D7</f>
        <v>0</v>
      </c>
      <c r="E7" s="103" t="str">
        <f>'Start Here'!F7</f>
        <v>Number of children in target population</v>
      </c>
      <c r="F7" s="91" t="str">
        <f>IF('Start Here'!G7="","NA",'Start Here'!G7)</f>
        <v>NA</v>
      </c>
    </row>
    <row r="8" spans="2:6" s="87" customFormat="1" ht="32.25" customHeight="1">
      <c r="B8" s="105" t="str">
        <f>'Start Here'!C8</f>
        <v>Number of primary schools in the EU</v>
      </c>
      <c r="C8" s="106">
        <f>'Start Here'!D8</f>
        <v>0</v>
      </c>
      <c r="E8" s="105" t="str">
        <f>'Start Here'!F8</f>
        <v>Number of primary schools in the EU</v>
      </c>
      <c r="F8" s="91" t="str">
        <f>IF('Start Here'!G8="","NA",'Start Here'!G8)</f>
        <v>NA</v>
      </c>
    </row>
    <row r="9" spans="2:6" s="87" customFormat="1" ht="32.25" customHeight="1">
      <c r="B9" s="103" t="str">
        <f>'Start Here'!C9</f>
        <v>Predicted LF non-response rate</v>
      </c>
      <c r="C9" s="107">
        <f>'Start Here'!D9</f>
        <v>0</v>
      </c>
      <c r="E9" s="103" t="str">
        <f>'Start Here'!F9</f>
        <v>Predicted STH non-response rate</v>
      </c>
      <c r="F9" s="142" t="str">
        <f>IF('Start Here'!G9="","NA",'Start Here'!G9)</f>
        <v>NA</v>
      </c>
    </row>
    <row r="10" spans="2:6" s="87" customFormat="1" ht="32.25" customHeight="1">
      <c r="B10" s="102" t="s">
        <v>136</v>
      </c>
      <c r="C10" s="108" t="e">
        <f>ROUNDDOWN(C7/C8,0)</f>
        <v>#DIV/0!</v>
      </c>
      <c r="E10" s="102" t="s">
        <v>136</v>
      </c>
      <c r="F10" s="108" t="str">
        <f>IF(F9="NA","NA",ROUNDDOWN(F7/F8,0))</f>
        <v>NA</v>
      </c>
    </row>
    <row r="11" spans="2:6" ht="42.75" customHeight="1">
      <c r="B11" s="168" t="s">
        <v>41</v>
      </c>
      <c r="C11" s="168"/>
      <c r="D11" s="168"/>
      <c r="E11" s="168"/>
      <c r="F11" s="168"/>
    </row>
    <row r="12" spans="2:6" ht="57" customHeight="1">
      <c r="B12" s="169" t="str">
        <f>Scrap!B18&amp;" Census of  "&amp;C6</f>
        <v> Census of  0</v>
      </c>
      <c r="C12" s="169"/>
      <c r="D12" s="143"/>
      <c r="E12" s="170" t="str">
        <f>IF(F9="NA","NA",(Scrap!B18&amp;" Systematic Sample of "&amp;F6))</f>
        <v>NA</v>
      </c>
      <c r="F12" s="170"/>
    </row>
    <row r="13" spans="2:6" ht="19.5" customHeight="1">
      <c r="B13" s="171"/>
      <c r="C13" s="171"/>
      <c r="E13" s="171" t="s">
        <v>75</v>
      </c>
      <c r="F13" s="171"/>
    </row>
    <row r="14" spans="2:12" s="88" customFormat="1" ht="32.25" customHeight="1">
      <c r="B14" s="122" t="s">
        <v>106</v>
      </c>
      <c r="C14" s="109">
        <f>IF(Scrap!B17="Anopheles, Culex, or Mansonia",IF(MOD(C7,50)=0,(C7/50)-1,ROUNDDOWN((C7/50),0)),IF(MOD(C7,100)=0,(C7/50)-1,ROUNDDOWN((C7/100),0)))</f>
        <v>-1</v>
      </c>
      <c r="D14" s="89"/>
      <c r="E14" s="105" t="str">
        <f>"Sample Size for Systematic Sample"</f>
        <v>Sample Size for Systematic Sample</v>
      </c>
      <c r="F14" s="125" t="str">
        <f>IF(F9="NA","NA",166)</f>
        <v>NA</v>
      </c>
      <c r="H14" s="204" t="s">
        <v>103</v>
      </c>
      <c r="I14" s="205"/>
      <c r="J14" s="205"/>
      <c r="K14" s="205"/>
      <c r="L14" s="206"/>
    </row>
    <row r="15" spans="2:12" s="88" customFormat="1" ht="7.5" customHeight="1">
      <c r="B15" s="3"/>
      <c r="C15"/>
      <c r="E15" s="130"/>
      <c r="F15" s="127"/>
      <c r="H15" s="207"/>
      <c r="I15" s="176"/>
      <c r="J15" s="176"/>
      <c r="K15" s="176"/>
      <c r="L15" s="208"/>
    </row>
    <row r="16" spans="2:12" s="88" customFormat="1" ht="32.25" customHeight="1">
      <c r="B16" s="37"/>
      <c r="C16" s="38"/>
      <c r="E16" s="102" t="s">
        <v>104</v>
      </c>
      <c r="F16" s="111" t="str">
        <f>IF(F9="NA","NA",(IF(F17&gt;1,(1/F17),1)))</f>
        <v>NA</v>
      </c>
      <c r="H16" s="97" t="s">
        <v>101</v>
      </c>
      <c r="I16" s="97" t="s">
        <v>98</v>
      </c>
      <c r="J16" s="97" t="s">
        <v>99</v>
      </c>
      <c r="K16" s="97" t="s">
        <v>100</v>
      </c>
      <c r="L16" s="98" t="s">
        <v>93</v>
      </c>
    </row>
    <row r="17" spans="2:12" s="88" customFormat="1" ht="32.25" customHeight="1">
      <c r="B17" s="202"/>
      <c r="C17" s="202"/>
      <c r="E17" s="102" t="s">
        <v>105</v>
      </c>
      <c r="F17" s="111" t="str">
        <f>IF(F9="NA","NA",(IF(F7/(ROUNDUP((F14/(1-F9)),0))&gt;1,F7/(ROUNDUP((F14/(1-F9)),0)),1)))</f>
        <v>NA</v>
      </c>
      <c r="H17" s="99" t="e">
        <f>VLOOKUP($F$14,'STH Critical Values'!$C$5:$H$6,2,FALSE)</f>
        <v>#N/A</v>
      </c>
      <c r="I17" s="99" t="e">
        <f>VLOOKUP($F$14,'STH Critical Values'!$C$5:$H$6,3,FALSE)</f>
        <v>#N/A</v>
      </c>
      <c r="J17" s="99" t="e">
        <f>VLOOKUP($F$14,'STH Critical Values'!$C$5:$H$6,4,FALSE)</f>
        <v>#N/A</v>
      </c>
      <c r="K17" s="99" t="e">
        <f>VLOOKUP($F$14,'STH Critical Values'!$C$5:$H$6,5,FALSE)</f>
        <v>#N/A</v>
      </c>
      <c r="L17" s="99" t="e">
        <f>VLOOKUP($F$14,'STH Critical Values'!$C$5:$H$6,6,FALSE)</f>
        <v>#N/A</v>
      </c>
    </row>
    <row r="18" spans="2:6" s="88" customFormat="1" ht="21.75" customHeight="1">
      <c r="B18" s="29"/>
      <c r="C18" s="29"/>
      <c r="D18" s="123">
        <v>2</v>
      </c>
      <c r="E18" s="177" t="s">
        <v>102</v>
      </c>
      <c r="F18" s="178"/>
    </row>
    <row r="19" spans="2:6" s="88" customFormat="1" ht="21.75" customHeight="1">
      <c r="B19" s="29"/>
      <c r="C19" s="29"/>
      <c r="D19" s="123"/>
      <c r="E19" s="3">
        <f>IF(F9="NA","",("Based on a "&amp;F9*100&amp;"% absentee rate"))</f>
      </c>
      <c r="F19"/>
    </row>
    <row r="20" spans="1:5" ht="18" customHeight="1">
      <c r="A20" s="60"/>
      <c r="B20" s="114"/>
      <c r="C20" s="114"/>
      <c r="D20" s="90"/>
      <c r="E20" s="3"/>
    </row>
    <row r="21" spans="1:3" s="38" customFormat="1" ht="33" customHeight="1">
      <c r="A21" s="37"/>
      <c r="B21"/>
      <c r="C21"/>
    </row>
    <row r="22" spans="1:6" s="38" customFormat="1" ht="37.5" customHeight="1">
      <c r="A22" s="37"/>
      <c r="B22"/>
      <c r="C22"/>
      <c r="D22" s="29"/>
      <c r="E22" s="203" t="str">
        <f>"Lists corresponding to the children selected for sampling out of all "&amp;F6&amp;" per EA/School"</f>
        <v>Lists corresponding to the children selected for sampling out of all NA per EA/School</v>
      </c>
      <c r="F22" s="203"/>
    </row>
    <row r="23" spans="4:6" ht="15.75">
      <c r="D23" s="1"/>
      <c r="E23" s="114" t="s">
        <v>107</v>
      </c>
      <c r="F23" s="114" t="s">
        <v>108</v>
      </c>
    </row>
    <row r="325" spans="2:6" s="38" customFormat="1" ht="15">
      <c r="B325" s="101"/>
      <c r="C325" s="101"/>
      <c r="D325" s="51"/>
      <c r="E325" s="51"/>
      <c r="F325" s="51"/>
    </row>
    <row r="326" spans="2:6" s="38" customFormat="1" ht="15">
      <c r="B326" s="101"/>
      <c r="C326" s="101"/>
      <c r="D326" s="51"/>
      <c r="E326" s="51"/>
      <c r="F326" s="51"/>
    </row>
    <row r="327" spans="2:6" s="38" customFormat="1" ht="15">
      <c r="B327" s="101"/>
      <c r="C327" s="101"/>
      <c r="D327" s="51"/>
      <c r="E327" s="51"/>
      <c r="F327" s="51"/>
    </row>
    <row r="328" spans="2:6" s="38" customFormat="1" ht="15">
      <c r="B328" s="101"/>
      <c r="C328" s="101"/>
      <c r="D328" s="51"/>
      <c r="E328" s="51"/>
      <c r="F328" s="51"/>
    </row>
    <row r="329" spans="2:6" s="38" customFormat="1" ht="15">
      <c r="B329" s="101"/>
      <c r="C329" s="101"/>
      <c r="D329" s="51"/>
      <c r="E329" s="51"/>
      <c r="F329" s="51"/>
    </row>
    <row r="330" spans="2:6" s="38" customFormat="1" ht="15">
      <c r="B330" s="101"/>
      <c r="C330" s="101"/>
      <c r="D330" s="51"/>
      <c r="E330" s="51"/>
      <c r="F330" s="51"/>
    </row>
    <row r="331" spans="2:6" s="38" customFormat="1" ht="15">
      <c r="B331" s="101"/>
      <c r="C331" s="101"/>
      <c r="D331" s="51"/>
      <c r="E331" s="51"/>
      <c r="F331" s="51"/>
    </row>
    <row r="332" spans="2:6" s="38" customFormat="1" ht="15">
      <c r="B332" s="101"/>
      <c r="C332" s="101"/>
      <c r="D332" s="51"/>
      <c r="E332" s="51"/>
      <c r="F332" s="51"/>
    </row>
    <row r="333" spans="2:6" s="38" customFormat="1" ht="15">
      <c r="B333" s="101"/>
      <c r="C333" s="101"/>
      <c r="D333" s="51"/>
      <c r="E333" s="51"/>
      <c r="F333" s="51"/>
    </row>
    <row r="334" spans="2:6" s="38" customFormat="1" ht="15">
      <c r="B334" s="101"/>
      <c r="C334" s="101"/>
      <c r="D334" s="51"/>
      <c r="E334" s="51"/>
      <c r="F334" s="51"/>
    </row>
    <row r="335" spans="2:6" s="38" customFormat="1" ht="15">
      <c r="B335" s="101"/>
      <c r="C335" s="101"/>
      <c r="D335" s="51"/>
      <c r="E335" s="51"/>
      <c r="F335" s="51"/>
    </row>
    <row r="336" spans="2:6" s="38" customFormat="1" ht="15">
      <c r="B336" s="101"/>
      <c r="C336" s="101"/>
      <c r="D336" s="51"/>
      <c r="E336" s="51"/>
      <c r="F336" s="51"/>
    </row>
    <row r="337" spans="2:6" s="38" customFormat="1" ht="15">
      <c r="B337" s="101"/>
      <c r="C337" s="101"/>
      <c r="D337" s="51"/>
      <c r="E337" s="51"/>
      <c r="F337" s="51"/>
    </row>
    <row r="338" spans="2:6" s="38" customFormat="1" ht="15">
      <c r="B338" s="101"/>
      <c r="C338" s="101"/>
      <c r="D338" s="51"/>
      <c r="E338" s="51"/>
      <c r="F338" s="51"/>
    </row>
    <row r="339" spans="2:6" s="38" customFormat="1" ht="15">
      <c r="B339" s="101"/>
      <c r="C339" s="101"/>
      <c r="D339" s="51"/>
      <c r="E339" s="51"/>
      <c r="F339" s="51"/>
    </row>
    <row r="340" spans="2:6" s="38" customFormat="1" ht="15">
      <c r="B340" s="101"/>
      <c r="C340" s="101"/>
      <c r="D340" s="51"/>
      <c r="E340" s="51"/>
      <c r="F340" s="51"/>
    </row>
    <row r="341" spans="2:6" s="38" customFormat="1" ht="15">
      <c r="B341" s="101"/>
      <c r="C341" s="101"/>
      <c r="D341" s="51"/>
      <c r="E341" s="51"/>
      <c r="F341" s="51"/>
    </row>
    <row r="342" spans="2:6" s="38" customFormat="1" ht="15">
      <c r="B342" s="51"/>
      <c r="C342" s="51"/>
      <c r="D342" s="51"/>
      <c r="E342" s="51"/>
      <c r="F342" s="51"/>
    </row>
    <row r="343" spans="2:6" s="38" customFormat="1" ht="15">
      <c r="B343" s="51"/>
      <c r="C343" s="51"/>
      <c r="D343" s="51"/>
      <c r="E343" s="51"/>
      <c r="F343" s="51"/>
    </row>
    <row r="344" spans="2:6" s="38" customFormat="1" ht="15">
      <c r="B344" s="51"/>
      <c r="C344" s="51"/>
      <c r="D344" s="51"/>
      <c r="E344" s="51"/>
      <c r="F344" s="51"/>
    </row>
    <row r="345" spans="2:6" s="38" customFormat="1" ht="15">
      <c r="B345" s="51"/>
      <c r="C345" s="51"/>
      <c r="D345" s="51"/>
      <c r="E345" s="51"/>
      <c r="F345" s="51"/>
    </row>
    <row r="346" spans="2:6" s="38" customFormat="1" ht="15">
      <c r="B346" s="51"/>
      <c r="C346" s="51"/>
      <c r="D346" s="51"/>
      <c r="E346" s="51"/>
      <c r="F346" s="51"/>
    </row>
    <row r="347" spans="2:6" s="38" customFormat="1" ht="15">
      <c r="B347" s="51"/>
      <c r="C347" s="51"/>
      <c r="D347" s="51"/>
      <c r="E347" s="51"/>
      <c r="F347" s="51"/>
    </row>
    <row r="348" spans="2:6" s="38" customFormat="1" ht="15">
      <c r="B348" s="51"/>
      <c r="C348" s="51"/>
      <c r="D348" s="51"/>
      <c r="E348" s="51"/>
      <c r="F348" s="51"/>
    </row>
    <row r="349" spans="2:6" s="38" customFormat="1" ht="15">
      <c r="B349" s="51"/>
      <c r="C349" s="51"/>
      <c r="D349" s="51"/>
      <c r="E349" s="51"/>
      <c r="F349" s="51"/>
    </row>
    <row r="350" spans="2:6" s="38" customFormat="1" ht="15">
      <c r="B350" s="51"/>
      <c r="C350" s="51"/>
      <c r="D350" s="51"/>
      <c r="E350" s="51"/>
      <c r="F350" s="51"/>
    </row>
    <row r="351" spans="2:6" s="38" customFormat="1" ht="15">
      <c r="B351" s="51"/>
      <c r="C351" s="51"/>
      <c r="D351" s="51"/>
      <c r="E351" s="51"/>
      <c r="F351" s="51"/>
    </row>
    <row r="352" spans="4:6" s="38" customFormat="1" ht="15">
      <c r="D352" s="51"/>
      <c r="E352" s="51"/>
      <c r="F352" s="51"/>
    </row>
    <row r="353" spans="4:6" s="38" customFormat="1" ht="15">
      <c r="D353" s="51"/>
      <c r="E353" s="51"/>
      <c r="F353" s="51"/>
    </row>
    <row r="354" spans="4:6" s="38" customFormat="1" ht="15">
      <c r="D354" s="51"/>
      <c r="E354" s="51"/>
      <c r="F354" s="51"/>
    </row>
    <row r="355" spans="4:6" s="38" customFormat="1" ht="15">
      <c r="D355" s="51"/>
      <c r="E355" s="51"/>
      <c r="F355" s="51"/>
    </row>
    <row r="356" s="38" customFormat="1" ht="15"/>
    <row r="357" s="38" customFormat="1" ht="15"/>
    <row r="358" s="38" customFormat="1" ht="15"/>
    <row r="359" s="38" customFormat="1" ht="15"/>
    <row r="360" s="38" customFormat="1" ht="15"/>
    <row r="361" s="38" customFormat="1" ht="15"/>
    <row r="362" s="38" customFormat="1" ht="15"/>
    <row r="363" s="38" customFormat="1" ht="15"/>
    <row r="364" s="38" customFormat="1" ht="15"/>
    <row r="365" s="38" customFormat="1" ht="15"/>
    <row r="366" s="38" customFormat="1" ht="15"/>
    <row r="367" s="38" customFormat="1" ht="15"/>
    <row r="368" s="38" customFormat="1" ht="15"/>
    <row r="369" s="38" customFormat="1" ht="15"/>
    <row r="370" s="38" customFormat="1" ht="15"/>
    <row r="371" s="38" customFormat="1" ht="15"/>
    <row r="372" s="38" customFormat="1" ht="15"/>
    <row r="373" s="38" customFormat="1" ht="15"/>
    <row r="374" s="38" customFormat="1" ht="15"/>
    <row r="375" s="38" customFormat="1" ht="15"/>
    <row r="376" s="38" customFormat="1" ht="15"/>
    <row r="377" s="38" customFormat="1" ht="15"/>
    <row r="378" s="38" customFormat="1" ht="15"/>
    <row r="379" s="38" customFormat="1" ht="15"/>
    <row r="380" s="38" customFormat="1" ht="15"/>
    <row r="381" s="38" customFormat="1" ht="15"/>
    <row r="382" s="38" customFormat="1" ht="15"/>
    <row r="383" s="38" customFormat="1" ht="15"/>
    <row r="384" s="38" customFormat="1" ht="15"/>
    <row r="385" s="38" customFormat="1" ht="15"/>
    <row r="386" s="38" customFormat="1" ht="15"/>
    <row r="387" s="38" customFormat="1" ht="15"/>
    <row r="388" s="38" customFormat="1" ht="15"/>
    <row r="389" s="38" customFormat="1" ht="15"/>
    <row r="390" s="38" customFormat="1" ht="15"/>
    <row r="391" s="38" customFormat="1" ht="15"/>
    <row r="392" s="38" customFormat="1" ht="15"/>
    <row r="393" s="38" customFormat="1" ht="15"/>
    <row r="394" s="38" customFormat="1" ht="15"/>
    <row r="395" s="38" customFormat="1" ht="15"/>
    <row r="396" s="38" customFormat="1" ht="15"/>
    <row r="397" s="38" customFormat="1" ht="15"/>
    <row r="398" s="38" customFormat="1" ht="15"/>
    <row r="399" s="38" customFormat="1" ht="15"/>
    <row r="400" s="38" customFormat="1" ht="15"/>
    <row r="401" s="38" customFormat="1" ht="15"/>
    <row r="402" s="38" customFormat="1" ht="15"/>
    <row r="403" s="38" customFormat="1" ht="15"/>
    <row r="404" s="38" customFormat="1" ht="15"/>
    <row r="405" s="38" customFormat="1" ht="15"/>
    <row r="406" s="38" customFormat="1" ht="15"/>
    <row r="407" s="38" customFormat="1" ht="15"/>
    <row r="408" s="38" customFormat="1" ht="15"/>
    <row r="409" s="38" customFormat="1" ht="15"/>
    <row r="410" s="38" customFormat="1" ht="15"/>
    <row r="411" s="38" customFormat="1" ht="15"/>
    <row r="412" s="38" customFormat="1" ht="15"/>
    <row r="413" s="38" customFormat="1" ht="15"/>
    <row r="414" s="38" customFormat="1" ht="15"/>
    <row r="415" s="38" customFormat="1" ht="15"/>
    <row r="416" s="38" customFormat="1" ht="15"/>
    <row r="417" s="38" customFormat="1" ht="15"/>
    <row r="418" s="38" customFormat="1" ht="15"/>
    <row r="419" s="38" customFormat="1" ht="15"/>
    <row r="420" s="38" customFormat="1" ht="15"/>
    <row r="421" s="38" customFormat="1" ht="15"/>
    <row r="422" s="38" customFormat="1" ht="15"/>
    <row r="423" s="38" customFormat="1" ht="15"/>
    <row r="424" s="38" customFormat="1" ht="15"/>
    <row r="425" s="38" customFormat="1" ht="15"/>
    <row r="426" s="38" customFormat="1" ht="15"/>
    <row r="427" s="38" customFormat="1" ht="15"/>
    <row r="428" s="38" customFormat="1" ht="15"/>
    <row r="429" s="38" customFormat="1" ht="15"/>
    <row r="430" s="38" customFormat="1" ht="15"/>
    <row r="431" spans="2:3" ht="15">
      <c r="B431" s="38"/>
      <c r="C431" s="38"/>
    </row>
    <row r="432" spans="2:3" ht="15">
      <c r="B432" s="38"/>
      <c r="C432" s="38"/>
    </row>
    <row r="433" spans="2:3" ht="15">
      <c r="B433" s="38"/>
      <c r="C433" s="38"/>
    </row>
    <row r="434" spans="2:3" ht="15">
      <c r="B434" s="38"/>
      <c r="C434" s="38"/>
    </row>
    <row r="435" spans="2:3" ht="15">
      <c r="B435" s="38"/>
      <c r="C435" s="38"/>
    </row>
    <row r="436" spans="2:3" ht="15">
      <c r="B436" s="38"/>
      <c r="C436" s="38"/>
    </row>
    <row r="437" spans="2:3" ht="15">
      <c r="B437" s="38"/>
      <c r="C437" s="38"/>
    </row>
    <row r="438" spans="2:3" ht="15">
      <c r="B438" s="38"/>
      <c r="C438" s="38"/>
    </row>
    <row r="439" spans="2:3" ht="15">
      <c r="B439" s="38"/>
      <c r="C439" s="38"/>
    </row>
    <row r="440" spans="2:3" ht="15">
      <c r="B440" s="38"/>
      <c r="C440" s="38"/>
    </row>
    <row r="441" spans="2:3" ht="15">
      <c r="B441" s="38"/>
      <c r="C441" s="38"/>
    </row>
    <row r="442" spans="2:3" ht="15">
      <c r="B442" s="38"/>
      <c r="C442" s="38"/>
    </row>
    <row r="443" spans="2:3" ht="15">
      <c r="B443" s="38"/>
      <c r="C443" s="38"/>
    </row>
    <row r="444" spans="2:3" ht="15">
      <c r="B444" s="38"/>
      <c r="C444" s="38"/>
    </row>
    <row r="445" spans="2:3" ht="15">
      <c r="B445" s="38"/>
      <c r="C445" s="38"/>
    </row>
    <row r="446" spans="2:3" ht="15">
      <c r="B446" s="38"/>
      <c r="C446" s="38"/>
    </row>
    <row r="447" spans="2:3" ht="15">
      <c r="B447" s="38"/>
      <c r="C447" s="38"/>
    </row>
    <row r="448" spans="2:3" ht="15">
      <c r="B448" s="38"/>
      <c r="C448" s="38"/>
    </row>
    <row r="449" spans="2:3" ht="15">
      <c r="B449" s="38"/>
      <c r="C449" s="38"/>
    </row>
    <row r="450" spans="2:3" ht="15">
      <c r="B450" s="38"/>
      <c r="C450" s="38"/>
    </row>
    <row r="451" spans="2:3" ht="15">
      <c r="B451" s="38"/>
      <c r="C451" s="38"/>
    </row>
    <row r="452" spans="2:3" ht="15">
      <c r="B452" s="38"/>
      <c r="C452" s="38"/>
    </row>
    <row r="453" spans="2:3" ht="15">
      <c r="B453" s="38"/>
      <c r="C453" s="38"/>
    </row>
    <row r="454" spans="2:3" ht="15">
      <c r="B454" s="38"/>
      <c r="C454" s="38"/>
    </row>
    <row r="455" spans="2:3" ht="15">
      <c r="B455" s="38"/>
      <c r="C455" s="38"/>
    </row>
    <row r="456" spans="2:3" ht="15">
      <c r="B456" s="38"/>
      <c r="C456" s="38"/>
    </row>
    <row r="457" spans="2:3" ht="15">
      <c r="B457" s="38"/>
      <c r="C457" s="38"/>
    </row>
    <row r="458" spans="2:3" ht="15">
      <c r="B458" s="38"/>
      <c r="C458" s="38"/>
    </row>
    <row r="459" spans="2:3" ht="15">
      <c r="B459" s="38"/>
      <c r="C459" s="38"/>
    </row>
    <row r="460" spans="2:3" ht="15">
      <c r="B460" s="38"/>
      <c r="C460" s="38"/>
    </row>
    <row r="461" spans="2:3" ht="15">
      <c r="B461" s="38"/>
      <c r="C461" s="38"/>
    </row>
    <row r="462" spans="2:3" ht="15">
      <c r="B462" s="38"/>
      <c r="C462" s="38"/>
    </row>
    <row r="463" spans="2:3" ht="15">
      <c r="B463" s="38"/>
      <c r="C463" s="38"/>
    </row>
    <row r="464" spans="2:3" ht="15">
      <c r="B464" s="38"/>
      <c r="C464" s="38"/>
    </row>
    <row r="465" spans="2:3" ht="15">
      <c r="B465" s="38"/>
      <c r="C465" s="38"/>
    </row>
    <row r="466" spans="2:3" ht="15">
      <c r="B466" s="38"/>
      <c r="C466" s="38"/>
    </row>
    <row r="467" spans="2:3" ht="15">
      <c r="B467" s="38"/>
      <c r="C467" s="38"/>
    </row>
    <row r="468" spans="2:3" ht="15">
      <c r="B468" s="38"/>
      <c r="C468" s="38"/>
    </row>
    <row r="469" spans="2:3" ht="15">
      <c r="B469" s="38"/>
      <c r="C469" s="38"/>
    </row>
    <row r="470" spans="2:3" ht="15">
      <c r="B470" s="38"/>
      <c r="C470" s="38"/>
    </row>
    <row r="471" spans="2:3" ht="15">
      <c r="B471" s="38"/>
      <c r="C471" s="38"/>
    </row>
    <row r="472" spans="2:3" ht="15">
      <c r="B472" s="38"/>
      <c r="C472" s="38"/>
    </row>
    <row r="473" spans="2:3" ht="15">
      <c r="B473" s="38"/>
      <c r="C473" s="38"/>
    </row>
    <row r="474" spans="2:3" ht="15">
      <c r="B474" s="38"/>
      <c r="C474" s="38"/>
    </row>
    <row r="475" spans="2:3" ht="15">
      <c r="B475" s="38"/>
      <c r="C475" s="38"/>
    </row>
    <row r="476" spans="2:3" ht="15">
      <c r="B476" s="38"/>
      <c r="C476" s="38"/>
    </row>
    <row r="477" spans="2:3" ht="15">
      <c r="B477" s="38"/>
      <c r="C477" s="38"/>
    </row>
    <row r="478" spans="2:3" ht="15">
      <c r="B478" s="38"/>
      <c r="C478" s="38"/>
    </row>
    <row r="479" spans="2:3" ht="15">
      <c r="B479" s="38"/>
      <c r="C479" s="38"/>
    </row>
    <row r="480" spans="2:3" ht="15">
      <c r="B480" s="38"/>
      <c r="C480" s="38"/>
    </row>
    <row r="481" spans="2:3" ht="15">
      <c r="B481" s="38"/>
      <c r="C481" s="38"/>
    </row>
    <row r="482" spans="2:3" ht="15">
      <c r="B482" s="38"/>
      <c r="C482" s="38"/>
    </row>
    <row r="483" spans="2:3" ht="15">
      <c r="B483" s="38"/>
      <c r="C483" s="38"/>
    </row>
    <row r="484" spans="2:3" ht="15">
      <c r="B484" s="38"/>
      <c r="C484" s="38"/>
    </row>
    <row r="485" spans="2:3" ht="15">
      <c r="B485" s="38"/>
      <c r="C485" s="38"/>
    </row>
    <row r="486" spans="2:3" ht="15">
      <c r="B486" s="38"/>
      <c r="C486" s="38"/>
    </row>
    <row r="487" spans="2:3" ht="15">
      <c r="B487" s="38"/>
      <c r="C487" s="38"/>
    </row>
    <row r="488" spans="2:3" ht="15">
      <c r="B488" s="38"/>
      <c r="C488" s="38"/>
    </row>
    <row r="489" spans="2:3" ht="15">
      <c r="B489" s="38"/>
      <c r="C489" s="38"/>
    </row>
    <row r="490" spans="2:3" ht="15">
      <c r="B490" s="38"/>
      <c r="C490" s="38"/>
    </row>
    <row r="491" spans="2:3" ht="15">
      <c r="B491" s="38"/>
      <c r="C491" s="38"/>
    </row>
    <row r="492" spans="2:3" ht="15">
      <c r="B492" s="38"/>
      <c r="C492" s="38"/>
    </row>
    <row r="493" spans="2:3" ht="15">
      <c r="B493" s="38"/>
      <c r="C493" s="38"/>
    </row>
    <row r="494" spans="2:3" ht="15">
      <c r="B494" s="38"/>
      <c r="C494" s="38"/>
    </row>
    <row r="495" spans="2:3" ht="15">
      <c r="B495" s="38"/>
      <c r="C495" s="38"/>
    </row>
    <row r="496" spans="2:3" ht="15">
      <c r="B496" s="38"/>
      <c r="C496" s="38"/>
    </row>
    <row r="497" spans="2:3" ht="15">
      <c r="B497" s="38"/>
      <c r="C497" s="38"/>
    </row>
    <row r="498" spans="2:3" ht="15">
      <c r="B498" s="38"/>
      <c r="C498" s="38"/>
    </row>
    <row r="499" spans="2:3" ht="15">
      <c r="B499" s="38"/>
      <c r="C499" s="38"/>
    </row>
    <row r="500" spans="2:3" ht="15">
      <c r="B500" s="38"/>
      <c r="C500" s="38"/>
    </row>
    <row r="501" spans="2:3" ht="15">
      <c r="B501" s="38"/>
      <c r="C501" s="38"/>
    </row>
    <row r="502" spans="2:3" ht="15">
      <c r="B502" s="38"/>
      <c r="C502" s="38"/>
    </row>
    <row r="503" spans="2:3" ht="15">
      <c r="B503" s="38"/>
      <c r="C503" s="38"/>
    </row>
    <row r="504" spans="2:3" ht="15">
      <c r="B504" s="38"/>
      <c r="C504" s="38"/>
    </row>
    <row r="505" spans="2:3" ht="15">
      <c r="B505" s="38"/>
      <c r="C505" s="38"/>
    </row>
  </sheetData>
  <sheetProtection password="CFC9" sheet="1" objects="1" scenarios="1"/>
  <mergeCells count="11">
    <mergeCell ref="E13:F13"/>
    <mergeCell ref="E18:F18"/>
    <mergeCell ref="B17:C17"/>
    <mergeCell ref="E22:F22"/>
    <mergeCell ref="H14:L15"/>
    <mergeCell ref="B5:C5"/>
    <mergeCell ref="E5:F5"/>
    <mergeCell ref="B11:F11"/>
    <mergeCell ref="B12:C12"/>
    <mergeCell ref="E12:F12"/>
    <mergeCell ref="B13:C13"/>
  </mergeCell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/>
  <dimension ref="A1:J50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6.140625" style="0" customWidth="1"/>
    <col min="2" max="2" width="50.7109375" style="0" customWidth="1"/>
    <col min="3" max="3" width="26.28125" style="0" customWidth="1"/>
    <col min="4" max="4" width="5.57421875" style="0" customWidth="1"/>
    <col min="5" max="9" width="10.7109375" style="0" customWidth="1"/>
    <col min="10" max="10" width="19.421875" style="0" customWidth="1"/>
    <col min="11" max="12" width="10.57421875" style="0" customWidth="1"/>
  </cols>
  <sheetData>
    <row r="1" spans="2:3" ht="18.75">
      <c r="B1" s="85" t="str">
        <f>"Country Name:         "&amp;Scrap!B15</f>
        <v>Country Name:         </v>
      </c>
      <c r="C1" s="3"/>
    </row>
    <row r="2" spans="2:3" ht="18.75">
      <c r="B2" s="86" t="str">
        <f>"EU Name:                   "&amp;Scrap!B16</f>
        <v>EU Name:                   </v>
      </c>
      <c r="C2" s="3"/>
    </row>
    <row r="3" spans="2:3" ht="18.75">
      <c r="B3" s="86" t="str">
        <f>"Primary LF Vector:   "&amp;Scrap!B17</f>
        <v>Primary LF Vector:   </v>
      </c>
      <c r="C3" s="15"/>
    </row>
    <row r="4" ht="17.25" customHeight="1"/>
    <row r="5" spans="2:10" ht="21.75" customHeight="1">
      <c r="B5" s="166" t="s">
        <v>73</v>
      </c>
      <c r="C5" s="166"/>
      <c r="E5" s="167" t="s">
        <v>74</v>
      </c>
      <c r="F5" s="167"/>
      <c r="G5" s="167"/>
      <c r="H5" s="167"/>
      <c r="I5" s="167"/>
      <c r="J5" s="167"/>
    </row>
    <row r="6" spans="2:10" s="87" customFormat="1" ht="55.5" customHeight="1">
      <c r="B6" s="102" t="str">
        <f>'Start Here'!C6</f>
        <v>Target population </v>
      </c>
      <c r="C6" s="91">
        <f>'Start Here'!D6</f>
        <v>0</v>
      </c>
      <c r="E6" s="209" t="str">
        <f>'Start Here'!F6</f>
        <v>Target population </v>
      </c>
      <c r="F6" s="210"/>
      <c r="G6" s="210"/>
      <c r="H6" s="210"/>
      <c r="I6" s="210"/>
      <c r="J6" s="91" t="str">
        <f>IF('Start Here'!G6="","NA",'Start Here'!G6)</f>
        <v>NA</v>
      </c>
    </row>
    <row r="7" spans="2:10" s="87" customFormat="1" ht="32.25" customHeight="1">
      <c r="B7" s="103" t="str">
        <f>'Start Here'!C7</f>
        <v>Number of children in target population</v>
      </c>
      <c r="C7" s="104">
        <f>'Start Here'!D7</f>
        <v>0</v>
      </c>
      <c r="E7" s="209" t="str">
        <f>'Start Here'!F7</f>
        <v>Number of children in target population</v>
      </c>
      <c r="F7" s="210"/>
      <c r="G7" s="210"/>
      <c r="H7" s="210"/>
      <c r="I7" s="210"/>
      <c r="J7" s="91" t="str">
        <f>IF('Start Here'!G7="","NA",'Start Here'!G7)</f>
        <v>NA</v>
      </c>
    </row>
    <row r="8" spans="2:10" s="87" customFormat="1" ht="32.25" customHeight="1">
      <c r="B8" s="105" t="str">
        <f>'Start Here'!C8</f>
        <v>Number of primary schools in the EU</v>
      </c>
      <c r="C8" s="106">
        <f>'Start Here'!D8</f>
        <v>0</v>
      </c>
      <c r="E8" s="209" t="str">
        <f>'Start Here'!F8</f>
        <v>Number of primary schools in the EU</v>
      </c>
      <c r="F8" s="210"/>
      <c r="G8" s="210"/>
      <c r="H8" s="210"/>
      <c r="I8" s="210"/>
      <c r="J8" s="91" t="str">
        <f>IF('Start Here'!G8="","NA",'Start Here'!G8)</f>
        <v>NA</v>
      </c>
    </row>
    <row r="9" spans="2:10" s="87" customFormat="1" ht="32.25" customHeight="1">
      <c r="B9" s="103" t="str">
        <f>'Start Here'!C9</f>
        <v>Predicted LF non-response rate</v>
      </c>
      <c r="C9" s="107">
        <f>'Start Here'!D9</f>
        <v>0</v>
      </c>
      <c r="E9" s="209" t="str">
        <f>'Start Here'!F9</f>
        <v>Predicted STH non-response rate</v>
      </c>
      <c r="F9" s="210"/>
      <c r="G9" s="210"/>
      <c r="H9" s="210"/>
      <c r="I9" s="210"/>
      <c r="J9" s="142" t="str">
        <f>IF('Start Here'!G9="","NA",'Start Here'!G9)</f>
        <v>NA</v>
      </c>
    </row>
    <row r="10" spans="2:10" s="87" customFormat="1" ht="32.25" customHeight="1">
      <c r="B10" s="102" t="s">
        <v>135</v>
      </c>
      <c r="C10" s="108" t="e">
        <f>ROUNDDOWN(C7/C8,0)</f>
        <v>#DIV/0!</v>
      </c>
      <c r="E10" s="209" t="s">
        <v>135</v>
      </c>
      <c r="F10" s="210"/>
      <c r="G10" s="210"/>
      <c r="H10" s="210"/>
      <c r="I10" s="210"/>
      <c r="J10" s="108" t="str">
        <f>IF(J9="NA","NA",ROUNDDOWN(J7/J8,0))</f>
        <v>NA</v>
      </c>
    </row>
    <row r="11" spans="2:6" ht="42.75" customHeight="1">
      <c r="B11" s="168" t="s">
        <v>41</v>
      </c>
      <c r="C11" s="168"/>
      <c r="D11" s="168"/>
      <c r="E11" s="168"/>
      <c r="F11" s="168"/>
    </row>
    <row r="12" spans="2:9" ht="54" customHeight="1">
      <c r="B12" s="169" t="str">
        <f>"Systematic Sample of "&amp;C6&amp;" by School"</f>
        <v>Systematic Sample of 0 by School</v>
      </c>
      <c r="C12" s="169"/>
      <c r="D12" s="143"/>
      <c r="E12" s="170" t="str">
        <f>IF(J9="NA","NA",("School-Based Census of "&amp;J6))</f>
        <v>NA</v>
      </c>
      <c r="F12" s="170"/>
      <c r="G12" s="170"/>
      <c r="H12" s="170"/>
      <c r="I12" s="170"/>
    </row>
    <row r="13" spans="2:3" ht="19.5" customHeight="1">
      <c r="B13" s="171" t="s">
        <v>75</v>
      </c>
      <c r="C13" s="171"/>
    </row>
    <row r="14" spans="2:9" s="88" customFormat="1" ht="45.75" customHeight="1">
      <c r="B14" s="124" t="str">
        <f>"Sample Size for Systematic Sample"</f>
        <v>Sample Size for Systematic Sample</v>
      </c>
      <c r="C14" s="125" t="str">
        <f>IF(Scrap!B17="Aedes",VLOOKUP(C7,'Critical Values'!B27:I47,4,TRUE),(IF(Scrap!B17="Anopheles, Culex, or Mansonia",VLOOKUP(C7,'Critical Values'!B2:I26,4,TRUE),"Please go back to 'Start Here' and double check all data fields for completeness")))</f>
        <v>Please go back to 'Start Here' and double check all data fields for completeness</v>
      </c>
      <c r="D14" s="89"/>
      <c r="E14" s="175" t="s">
        <v>103</v>
      </c>
      <c r="F14" s="175"/>
      <c r="G14" s="175"/>
      <c r="H14" s="175"/>
      <c r="I14" s="175"/>
    </row>
    <row r="15" spans="2:9" s="88" customFormat="1" ht="6.75" customHeight="1">
      <c r="B15" s="126"/>
      <c r="C15" s="127"/>
      <c r="D15" s="129"/>
      <c r="E15" s="176"/>
      <c r="F15" s="176"/>
      <c r="G15" s="176"/>
      <c r="H15" s="176"/>
      <c r="I15" s="176"/>
    </row>
    <row r="16" spans="2:9" s="88" customFormat="1" ht="32.25" customHeight="1">
      <c r="B16" s="112" t="s">
        <v>137</v>
      </c>
      <c r="C16" s="111" t="e">
        <f>IF(C17&gt;1,(1/C17),1)</f>
        <v>#VALUE!</v>
      </c>
      <c r="E16" s="97" t="s">
        <v>101</v>
      </c>
      <c r="F16" s="97" t="s">
        <v>98</v>
      </c>
      <c r="G16" s="97" t="s">
        <v>99</v>
      </c>
      <c r="H16" s="97" t="s">
        <v>100</v>
      </c>
      <c r="I16" s="98" t="s">
        <v>93</v>
      </c>
    </row>
    <row r="17" spans="2:9" s="88" customFormat="1" ht="32.25" customHeight="1">
      <c r="B17" s="112" t="s">
        <v>138</v>
      </c>
      <c r="C17" s="111" t="e">
        <f>IF(C7/(ROUNDUP((C14/(1-C9)),0))&gt;1,C7/(ROUNDUP((C14/(1-C9)),0)),1)</f>
        <v>#VALUE!</v>
      </c>
      <c r="E17" s="99">
        <f>'STH Critical Values'!D4</f>
        <v>0</v>
      </c>
      <c r="F17" s="99">
        <f>'STH Critical Values'!E4</f>
        <v>0</v>
      </c>
      <c r="G17" s="99">
        <f>'STH Critical Values'!F4</f>
        <v>0</v>
      </c>
      <c r="H17" s="99">
        <f>'STH Critical Values'!G4</f>
        <v>0</v>
      </c>
      <c r="I17" s="99">
        <f>'STH Critical Values'!H4</f>
        <v>0</v>
      </c>
    </row>
    <row r="18" spans="2:3" s="88" customFormat="1" ht="32.25" customHeight="1">
      <c r="B18" s="112" t="s">
        <v>106</v>
      </c>
      <c r="C18" s="109" t="e">
        <f>VLOOKUP(C14,'Critical Values'!E:F,2,FALSE)</f>
        <v>#N/A</v>
      </c>
    </row>
    <row r="19" spans="1:4" ht="18" customHeight="1">
      <c r="A19" s="60" t="s">
        <v>34</v>
      </c>
      <c r="B19" s="3" t="str">
        <f>"Based on a "&amp;C9*100&amp;"% absentee rate"</f>
        <v>Based on a 0% absentee rate</v>
      </c>
      <c r="D19" s="90"/>
    </row>
    <row r="20" spans="1:2" s="38" customFormat="1" ht="50.25" customHeight="1">
      <c r="A20" s="37"/>
      <c r="B20" s="37"/>
    </row>
    <row r="21" spans="1:6" s="38" customFormat="1" ht="31.5" customHeight="1">
      <c r="A21" s="37"/>
      <c r="B21" s="202" t="str">
        <f>"Lists corresponding to the children selected for sampling out of all "&amp;C6&amp;" per School"</f>
        <v>Lists corresponding to the children selected for sampling out of all 0 per School</v>
      </c>
      <c r="C21" s="202"/>
      <c r="D21" s="29"/>
      <c r="E21" s="203"/>
      <c r="F21" s="203"/>
    </row>
    <row r="22" spans="1:6" s="38" customFormat="1" ht="11.25" customHeight="1">
      <c r="A22" s="63"/>
      <c r="B22" s="29"/>
      <c r="C22" s="29"/>
      <c r="D22" s="29"/>
      <c r="E22" s="29"/>
      <c r="F22" s="29"/>
    </row>
    <row r="23" spans="2:6" ht="15.75">
      <c r="B23" s="114" t="s">
        <v>113</v>
      </c>
      <c r="C23" s="114" t="s">
        <v>114</v>
      </c>
      <c r="D23" s="29"/>
      <c r="E23" s="114"/>
      <c r="F23" s="114"/>
    </row>
    <row r="325" spans="2:6" s="38" customFormat="1" ht="15">
      <c r="B325" s="101"/>
      <c r="C325" s="101"/>
      <c r="D325" s="51"/>
      <c r="E325" s="51"/>
      <c r="F325" s="51"/>
    </row>
    <row r="326" spans="2:6" s="38" customFormat="1" ht="15">
      <c r="B326" s="101"/>
      <c r="C326" s="101"/>
      <c r="D326" s="51"/>
      <c r="E326" s="51"/>
      <c r="F326" s="51"/>
    </row>
    <row r="327" spans="2:6" s="38" customFormat="1" ht="15">
      <c r="B327" s="101"/>
      <c r="C327" s="101"/>
      <c r="D327" s="51"/>
      <c r="E327" s="51"/>
      <c r="F327" s="51"/>
    </row>
    <row r="328" spans="2:6" s="38" customFormat="1" ht="15">
      <c r="B328" s="101"/>
      <c r="C328" s="101"/>
      <c r="D328" s="51"/>
      <c r="E328" s="51"/>
      <c r="F328" s="51"/>
    </row>
    <row r="329" spans="2:6" s="38" customFormat="1" ht="15">
      <c r="B329" s="101"/>
      <c r="C329" s="101"/>
      <c r="D329" s="51"/>
      <c r="E329" s="51"/>
      <c r="F329" s="51"/>
    </row>
    <row r="330" spans="2:6" s="38" customFormat="1" ht="15">
      <c r="B330" s="101"/>
      <c r="C330" s="101"/>
      <c r="D330" s="51"/>
      <c r="E330" s="51"/>
      <c r="F330" s="51"/>
    </row>
    <row r="331" spans="2:6" s="38" customFormat="1" ht="15">
      <c r="B331" s="101"/>
      <c r="C331" s="101"/>
      <c r="D331" s="51"/>
      <c r="E331" s="51"/>
      <c r="F331" s="51"/>
    </row>
    <row r="332" spans="2:6" s="38" customFormat="1" ht="15">
      <c r="B332" s="101"/>
      <c r="C332" s="101"/>
      <c r="D332" s="51"/>
      <c r="E332" s="51"/>
      <c r="F332" s="51"/>
    </row>
    <row r="333" spans="2:6" s="38" customFormat="1" ht="15">
      <c r="B333" s="101"/>
      <c r="C333" s="101"/>
      <c r="D333" s="51"/>
      <c r="E333" s="51"/>
      <c r="F333" s="51"/>
    </row>
    <row r="334" spans="2:6" s="38" customFormat="1" ht="15">
      <c r="B334" s="101"/>
      <c r="C334" s="101"/>
      <c r="D334" s="51"/>
      <c r="E334" s="51"/>
      <c r="F334" s="51"/>
    </row>
    <row r="335" spans="2:6" s="38" customFormat="1" ht="15">
      <c r="B335" s="101"/>
      <c r="C335" s="101"/>
      <c r="D335" s="51"/>
      <c r="E335" s="51"/>
      <c r="F335" s="51"/>
    </row>
    <row r="336" spans="2:6" s="38" customFormat="1" ht="15">
      <c r="B336" s="101"/>
      <c r="C336" s="101"/>
      <c r="D336" s="51"/>
      <c r="E336" s="51"/>
      <c r="F336" s="51"/>
    </row>
    <row r="337" spans="2:6" s="38" customFormat="1" ht="15">
      <c r="B337" s="101"/>
      <c r="C337" s="101"/>
      <c r="D337" s="51"/>
      <c r="E337" s="51"/>
      <c r="F337" s="51"/>
    </row>
    <row r="338" spans="2:6" s="38" customFormat="1" ht="15">
      <c r="B338" s="101"/>
      <c r="C338" s="101"/>
      <c r="D338" s="51"/>
      <c r="E338" s="51"/>
      <c r="F338" s="51"/>
    </row>
    <row r="339" spans="2:6" s="38" customFormat="1" ht="15">
      <c r="B339" s="101"/>
      <c r="C339" s="101"/>
      <c r="D339" s="51"/>
      <c r="E339" s="51"/>
      <c r="F339" s="51"/>
    </row>
    <row r="340" spans="2:6" s="38" customFormat="1" ht="15">
      <c r="B340" s="101"/>
      <c r="C340" s="101"/>
      <c r="D340" s="51"/>
      <c r="E340" s="51"/>
      <c r="F340" s="51"/>
    </row>
    <row r="341" spans="2:6" s="38" customFormat="1" ht="15">
      <c r="B341" s="101"/>
      <c r="C341" s="101"/>
      <c r="D341" s="51"/>
      <c r="E341" s="51"/>
      <c r="F341" s="51"/>
    </row>
    <row r="342" spans="2:6" s="38" customFormat="1" ht="15">
      <c r="B342" s="101"/>
      <c r="C342" s="101"/>
      <c r="D342" s="51"/>
      <c r="E342" s="51"/>
      <c r="F342" s="51"/>
    </row>
    <row r="343" spans="2:6" s="38" customFormat="1" ht="15">
      <c r="B343" s="101"/>
      <c r="C343" s="101"/>
      <c r="D343" s="51"/>
      <c r="E343" s="51"/>
      <c r="F343" s="51"/>
    </row>
    <row r="344" spans="2:6" s="38" customFormat="1" ht="15">
      <c r="B344" s="101"/>
      <c r="C344" s="101"/>
      <c r="D344" s="51"/>
      <c r="E344" s="51"/>
      <c r="F344" s="51"/>
    </row>
    <row r="345" spans="2:6" s="38" customFormat="1" ht="15">
      <c r="B345" s="101"/>
      <c r="C345" s="101"/>
      <c r="D345" s="51"/>
      <c r="E345" s="51"/>
      <c r="F345" s="51"/>
    </row>
    <row r="346" spans="2:6" s="38" customFormat="1" ht="15">
      <c r="B346" s="51"/>
      <c r="C346" s="51"/>
      <c r="D346" s="51"/>
      <c r="E346" s="51"/>
      <c r="F346" s="51"/>
    </row>
    <row r="347" spans="2:6" s="38" customFormat="1" ht="15">
      <c r="B347" s="51"/>
      <c r="C347" s="51"/>
      <c r="D347" s="51"/>
      <c r="E347" s="51"/>
      <c r="F347" s="51"/>
    </row>
    <row r="348" spans="2:6" s="38" customFormat="1" ht="15">
      <c r="B348" s="51"/>
      <c r="C348" s="51"/>
      <c r="D348" s="51"/>
      <c r="E348" s="51"/>
      <c r="F348" s="51"/>
    </row>
    <row r="349" spans="2:6" s="38" customFormat="1" ht="15">
      <c r="B349" s="51"/>
      <c r="C349" s="51"/>
      <c r="D349" s="51"/>
      <c r="E349" s="51"/>
      <c r="F349" s="51"/>
    </row>
    <row r="350" spans="2:6" s="38" customFormat="1" ht="15">
      <c r="B350" s="51"/>
      <c r="C350" s="51"/>
      <c r="D350" s="51"/>
      <c r="E350" s="51"/>
      <c r="F350" s="51"/>
    </row>
    <row r="351" spans="2:6" s="38" customFormat="1" ht="15">
      <c r="B351" s="51"/>
      <c r="C351" s="51"/>
      <c r="D351" s="51"/>
      <c r="E351" s="51"/>
      <c r="F351" s="51"/>
    </row>
    <row r="352" spans="2:6" s="38" customFormat="1" ht="15">
      <c r="B352" s="51"/>
      <c r="C352" s="51"/>
      <c r="D352" s="51"/>
      <c r="E352" s="51"/>
      <c r="F352" s="51"/>
    </row>
    <row r="353" spans="2:6" s="38" customFormat="1" ht="15">
      <c r="B353" s="51"/>
      <c r="C353" s="51"/>
      <c r="D353" s="51"/>
      <c r="E353" s="51"/>
      <c r="F353" s="51"/>
    </row>
    <row r="354" spans="2:6" s="38" customFormat="1" ht="15">
      <c r="B354" s="51"/>
      <c r="C354" s="51"/>
      <c r="D354" s="51"/>
      <c r="E354" s="51"/>
      <c r="F354" s="51"/>
    </row>
    <row r="355" spans="2:6" s="38" customFormat="1" ht="15">
      <c r="B355" s="51"/>
      <c r="C355" s="51"/>
      <c r="D355" s="51"/>
      <c r="E355" s="51"/>
      <c r="F355" s="51"/>
    </row>
    <row r="356" s="38" customFormat="1" ht="15"/>
    <row r="357" s="38" customFormat="1" ht="15"/>
    <row r="358" s="38" customFormat="1" ht="15"/>
    <row r="359" s="38" customFormat="1" ht="15"/>
    <row r="360" s="38" customFormat="1" ht="15"/>
    <row r="361" s="38" customFormat="1" ht="15"/>
    <row r="362" s="38" customFormat="1" ht="15"/>
    <row r="363" s="38" customFormat="1" ht="15"/>
    <row r="364" s="38" customFormat="1" ht="15"/>
    <row r="365" s="38" customFormat="1" ht="15"/>
    <row r="366" s="38" customFormat="1" ht="15"/>
    <row r="367" s="38" customFormat="1" ht="15"/>
    <row r="368" s="38" customFormat="1" ht="15"/>
    <row r="369" s="38" customFormat="1" ht="15"/>
    <row r="370" s="38" customFormat="1" ht="15"/>
    <row r="371" s="38" customFormat="1" ht="15"/>
    <row r="372" s="38" customFormat="1" ht="15"/>
    <row r="373" s="38" customFormat="1" ht="15"/>
    <row r="374" s="38" customFormat="1" ht="15"/>
    <row r="375" s="38" customFormat="1" ht="15"/>
    <row r="376" s="38" customFormat="1" ht="15"/>
    <row r="377" s="38" customFormat="1" ht="15"/>
    <row r="378" s="38" customFormat="1" ht="15"/>
    <row r="379" s="38" customFormat="1" ht="15"/>
    <row r="380" s="38" customFormat="1" ht="15"/>
    <row r="381" s="38" customFormat="1" ht="15"/>
    <row r="382" s="38" customFormat="1" ht="15"/>
    <row r="383" s="38" customFormat="1" ht="15"/>
    <row r="384" s="38" customFormat="1" ht="15"/>
    <row r="385" s="38" customFormat="1" ht="15"/>
    <row r="386" s="38" customFormat="1" ht="15"/>
    <row r="387" s="38" customFormat="1" ht="15"/>
    <row r="388" s="38" customFormat="1" ht="15"/>
    <row r="389" s="38" customFormat="1" ht="15"/>
    <row r="390" s="38" customFormat="1" ht="15"/>
    <row r="391" s="38" customFormat="1" ht="15"/>
    <row r="392" s="38" customFormat="1" ht="15"/>
    <row r="393" s="38" customFormat="1" ht="15"/>
    <row r="394" s="38" customFormat="1" ht="15"/>
    <row r="395" s="38" customFormat="1" ht="15"/>
    <row r="396" s="38" customFormat="1" ht="15"/>
    <row r="397" s="38" customFormat="1" ht="15"/>
    <row r="398" s="38" customFormat="1" ht="15"/>
    <row r="399" s="38" customFormat="1" ht="15"/>
    <row r="400" s="38" customFormat="1" ht="15"/>
    <row r="401" s="38" customFormat="1" ht="15"/>
    <row r="402" s="38" customFormat="1" ht="15"/>
    <row r="403" s="38" customFormat="1" ht="15"/>
    <row r="404" s="38" customFormat="1" ht="15"/>
    <row r="405" s="38" customFormat="1" ht="15"/>
    <row r="406" s="38" customFormat="1" ht="15"/>
    <row r="407" s="38" customFormat="1" ht="15"/>
    <row r="408" s="38" customFormat="1" ht="15"/>
    <row r="409" s="38" customFormat="1" ht="15"/>
    <row r="410" s="38" customFormat="1" ht="15"/>
    <row r="411" s="38" customFormat="1" ht="15"/>
    <row r="412" s="38" customFormat="1" ht="15"/>
    <row r="413" s="38" customFormat="1" ht="15"/>
    <row r="414" s="38" customFormat="1" ht="15"/>
    <row r="415" s="38" customFormat="1" ht="15"/>
    <row r="416" s="38" customFormat="1" ht="15"/>
    <row r="417" s="38" customFormat="1" ht="15"/>
    <row r="418" s="38" customFormat="1" ht="15"/>
    <row r="419" s="38" customFormat="1" ht="15"/>
    <row r="420" s="38" customFormat="1" ht="15"/>
    <row r="421" s="38" customFormat="1" ht="15"/>
    <row r="422" s="38" customFormat="1" ht="15"/>
    <row r="423" s="38" customFormat="1" ht="15"/>
    <row r="424" s="38" customFormat="1" ht="15"/>
    <row r="425" s="38" customFormat="1" ht="15"/>
    <row r="426" s="38" customFormat="1" ht="15"/>
    <row r="427" s="38" customFormat="1" ht="15"/>
    <row r="428" s="38" customFormat="1" ht="15"/>
    <row r="429" s="38" customFormat="1" ht="15"/>
    <row r="430" s="38" customFormat="1" ht="15"/>
    <row r="431" spans="2:3" ht="15">
      <c r="B431" s="38"/>
      <c r="C431" s="38"/>
    </row>
    <row r="432" spans="2:3" ht="15">
      <c r="B432" s="38"/>
      <c r="C432" s="38"/>
    </row>
    <row r="433" spans="2:3" ht="15">
      <c r="B433" s="38"/>
      <c r="C433" s="38"/>
    </row>
    <row r="434" spans="2:3" ht="15">
      <c r="B434" s="38"/>
      <c r="C434" s="38"/>
    </row>
    <row r="435" spans="2:3" ht="15">
      <c r="B435" s="38"/>
      <c r="C435" s="38"/>
    </row>
    <row r="436" spans="2:3" ht="15">
      <c r="B436" s="38"/>
      <c r="C436" s="38"/>
    </row>
    <row r="437" spans="2:3" ht="15">
      <c r="B437" s="38"/>
      <c r="C437" s="38"/>
    </row>
    <row r="438" spans="2:3" ht="15">
      <c r="B438" s="38"/>
      <c r="C438" s="38"/>
    </row>
    <row r="439" spans="2:3" ht="15">
      <c r="B439" s="38"/>
      <c r="C439" s="38"/>
    </row>
    <row r="440" spans="2:3" ht="15">
      <c r="B440" s="38"/>
      <c r="C440" s="38"/>
    </row>
    <row r="441" spans="2:3" ht="15">
      <c r="B441" s="38"/>
      <c r="C441" s="38"/>
    </row>
    <row r="442" spans="2:3" ht="15">
      <c r="B442" s="38"/>
      <c r="C442" s="38"/>
    </row>
    <row r="443" spans="2:3" ht="15">
      <c r="B443" s="38"/>
      <c r="C443" s="38"/>
    </row>
    <row r="444" spans="2:3" ht="15">
      <c r="B444" s="38"/>
      <c r="C444" s="38"/>
    </row>
    <row r="445" spans="2:3" ht="15">
      <c r="B445" s="38"/>
      <c r="C445" s="38"/>
    </row>
    <row r="446" spans="2:3" ht="15">
      <c r="B446" s="38"/>
      <c r="C446" s="38"/>
    </row>
    <row r="447" spans="2:3" ht="15">
      <c r="B447" s="38"/>
      <c r="C447" s="38"/>
    </row>
    <row r="448" spans="2:3" ht="15">
      <c r="B448" s="38"/>
      <c r="C448" s="38"/>
    </row>
    <row r="449" spans="2:3" ht="15">
      <c r="B449" s="38"/>
      <c r="C449" s="38"/>
    </row>
    <row r="450" spans="2:3" ht="15">
      <c r="B450" s="38"/>
      <c r="C450" s="38"/>
    </row>
    <row r="451" spans="2:3" ht="15">
      <c r="B451" s="38"/>
      <c r="C451" s="38"/>
    </row>
    <row r="452" spans="2:3" ht="15">
      <c r="B452" s="38"/>
      <c r="C452" s="38"/>
    </row>
    <row r="453" spans="2:3" ht="15">
      <c r="B453" s="38"/>
      <c r="C453" s="38"/>
    </row>
    <row r="454" spans="2:3" ht="15">
      <c r="B454" s="38"/>
      <c r="C454" s="38"/>
    </row>
    <row r="455" spans="2:3" ht="15">
      <c r="B455" s="38"/>
      <c r="C455" s="38"/>
    </row>
    <row r="456" spans="2:3" ht="15">
      <c r="B456" s="38"/>
      <c r="C456" s="38"/>
    </row>
    <row r="457" spans="2:3" ht="15">
      <c r="B457" s="38"/>
      <c r="C457" s="38"/>
    </row>
    <row r="458" spans="2:3" ht="15">
      <c r="B458" s="38"/>
      <c r="C458" s="38"/>
    </row>
    <row r="459" spans="2:3" ht="15">
      <c r="B459" s="38"/>
      <c r="C459" s="38"/>
    </row>
    <row r="460" spans="2:3" ht="15">
      <c r="B460" s="38"/>
      <c r="C460" s="38"/>
    </row>
    <row r="461" spans="2:3" ht="15">
      <c r="B461" s="38"/>
      <c r="C461" s="38"/>
    </row>
    <row r="462" spans="2:3" ht="15">
      <c r="B462" s="38"/>
      <c r="C462" s="38"/>
    </row>
    <row r="463" spans="2:3" ht="15">
      <c r="B463" s="38"/>
      <c r="C463" s="38"/>
    </row>
    <row r="464" spans="2:3" ht="15">
      <c r="B464" s="38"/>
      <c r="C464" s="38"/>
    </row>
    <row r="465" spans="2:3" ht="15">
      <c r="B465" s="38"/>
      <c r="C465" s="38"/>
    </row>
    <row r="466" spans="2:3" ht="15">
      <c r="B466" s="38"/>
      <c r="C466" s="38"/>
    </row>
    <row r="467" spans="2:3" ht="15">
      <c r="B467" s="38"/>
      <c r="C467" s="38"/>
    </row>
    <row r="468" spans="2:3" ht="15">
      <c r="B468" s="38"/>
      <c r="C468" s="38"/>
    </row>
    <row r="469" spans="2:3" ht="15">
      <c r="B469" s="38"/>
      <c r="C469" s="38"/>
    </row>
    <row r="470" spans="2:3" ht="15">
      <c r="B470" s="38"/>
      <c r="C470" s="38"/>
    </row>
    <row r="471" spans="2:3" ht="15">
      <c r="B471" s="38"/>
      <c r="C471" s="38"/>
    </row>
    <row r="472" spans="2:3" ht="15">
      <c r="B472" s="38"/>
      <c r="C472" s="38"/>
    </row>
    <row r="473" spans="2:3" ht="15">
      <c r="B473" s="38"/>
      <c r="C473" s="38"/>
    </row>
    <row r="474" spans="2:3" ht="15">
      <c r="B474" s="38"/>
      <c r="C474" s="38"/>
    </row>
    <row r="475" spans="2:3" ht="15">
      <c r="B475" s="38"/>
      <c r="C475" s="38"/>
    </row>
    <row r="476" spans="2:3" ht="15">
      <c r="B476" s="38"/>
      <c r="C476" s="38"/>
    </row>
    <row r="477" spans="2:3" ht="15">
      <c r="B477" s="38"/>
      <c r="C477" s="38"/>
    </row>
    <row r="478" spans="2:3" ht="15">
      <c r="B478" s="38"/>
      <c r="C478" s="38"/>
    </row>
    <row r="479" spans="2:3" ht="15">
      <c r="B479" s="38"/>
      <c r="C479" s="38"/>
    </row>
    <row r="480" spans="2:3" ht="15">
      <c r="B480" s="38"/>
      <c r="C480" s="38"/>
    </row>
    <row r="481" spans="2:3" ht="15">
      <c r="B481" s="38"/>
      <c r="C481" s="38"/>
    </row>
    <row r="482" spans="2:3" ht="15">
      <c r="B482" s="38"/>
      <c r="C482" s="38"/>
    </row>
    <row r="483" spans="2:3" ht="15">
      <c r="B483" s="38"/>
      <c r="C483" s="38"/>
    </row>
    <row r="484" spans="2:3" ht="15">
      <c r="B484" s="38"/>
      <c r="C484" s="38"/>
    </row>
    <row r="485" spans="2:3" ht="15">
      <c r="B485" s="38"/>
      <c r="C485" s="38"/>
    </row>
    <row r="486" spans="2:3" ht="15">
      <c r="B486" s="38"/>
      <c r="C486" s="38"/>
    </row>
    <row r="487" spans="2:3" ht="15">
      <c r="B487" s="38"/>
      <c r="C487" s="38"/>
    </row>
    <row r="488" spans="2:3" ht="15">
      <c r="B488" s="38"/>
      <c r="C488" s="38"/>
    </row>
    <row r="489" spans="2:3" ht="15">
      <c r="B489" s="38"/>
      <c r="C489" s="38"/>
    </row>
    <row r="490" spans="2:3" ht="15">
      <c r="B490" s="38"/>
      <c r="C490" s="38"/>
    </row>
    <row r="491" spans="2:3" ht="15">
      <c r="B491" s="38"/>
      <c r="C491" s="38"/>
    </row>
    <row r="492" spans="2:3" ht="15">
      <c r="B492" s="38"/>
      <c r="C492" s="38"/>
    </row>
    <row r="493" spans="2:3" ht="15">
      <c r="B493" s="38"/>
      <c r="C493" s="38"/>
    </row>
    <row r="494" spans="2:3" ht="15">
      <c r="B494" s="38"/>
      <c r="C494" s="38"/>
    </row>
    <row r="495" spans="2:3" ht="15">
      <c r="B495" s="38"/>
      <c r="C495" s="38"/>
    </row>
    <row r="496" spans="2:3" ht="15">
      <c r="B496" s="38"/>
      <c r="C496" s="38"/>
    </row>
    <row r="497" spans="2:3" ht="15">
      <c r="B497" s="38"/>
      <c r="C497" s="38"/>
    </row>
    <row r="498" spans="2:3" ht="15">
      <c r="B498" s="38"/>
      <c r="C498" s="38"/>
    </row>
    <row r="499" spans="2:3" ht="15">
      <c r="B499" s="38"/>
      <c r="C499" s="38"/>
    </row>
    <row r="500" spans="2:3" ht="15">
      <c r="B500" s="38"/>
      <c r="C500" s="38"/>
    </row>
    <row r="501" spans="2:3" ht="15">
      <c r="B501" s="38"/>
      <c r="C501" s="38"/>
    </row>
    <row r="502" spans="2:3" ht="15">
      <c r="B502" s="38"/>
      <c r="C502" s="38"/>
    </row>
    <row r="503" spans="2:3" ht="15">
      <c r="B503" s="38"/>
      <c r="C503" s="38"/>
    </row>
    <row r="504" spans="2:3" ht="15">
      <c r="B504" s="38"/>
      <c r="C504" s="38"/>
    </row>
    <row r="505" spans="2:3" ht="15">
      <c r="B505" s="38"/>
      <c r="C505" s="38"/>
    </row>
    <row r="506" spans="2:3" ht="15">
      <c r="B506" s="38"/>
      <c r="C506" s="38"/>
    </row>
    <row r="507" spans="2:3" ht="15">
      <c r="B507" s="38"/>
      <c r="C507" s="38"/>
    </row>
    <row r="508" spans="2:3" ht="15">
      <c r="B508" s="38"/>
      <c r="C508" s="38"/>
    </row>
    <row r="509" spans="2:3" ht="15">
      <c r="B509" s="38"/>
      <c r="C509" s="38"/>
    </row>
  </sheetData>
  <sheetProtection password="CFC9" sheet="1" objects="1" scenarios="1"/>
  <mergeCells count="14">
    <mergeCell ref="E7:I7"/>
    <mergeCell ref="E8:I8"/>
    <mergeCell ref="E9:I9"/>
    <mergeCell ref="E10:I10"/>
    <mergeCell ref="E14:I15"/>
    <mergeCell ref="E12:I12"/>
    <mergeCell ref="E5:J5"/>
    <mergeCell ref="B21:C21"/>
    <mergeCell ref="E21:F21"/>
    <mergeCell ref="E6:I6"/>
    <mergeCell ref="B5:C5"/>
    <mergeCell ref="B11:F11"/>
    <mergeCell ref="B12:C12"/>
    <mergeCell ref="B13:C13"/>
  </mergeCell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J504"/>
  <sheetViews>
    <sheetView showGridLines="0" zoomScalePageLayoutView="0" workbookViewId="0" topLeftCell="A1">
      <selection activeCell="C13" sqref="C13"/>
    </sheetView>
  </sheetViews>
  <sheetFormatPr defaultColWidth="9.140625" defaultRowHeight="15"/>
  <cols>
    <col min="1" max="1" width="6.140625" style="0" customWidth="1"/>
    <col min="2" max="2" width="50.7109375" style="0" customWidth="1"/>
    <col min="3" max="3" width="20.7109375" style="0" customWidth="1"/>
    <col min="4" max="4" width="5.57421875" style="0" customWidth="1"/>
    <col min="5" max="9" width="12.7109375" style="3" customWidth="1"/>
    <col min="10" max="10" width="20.421875" style="0" customWidth="1"/>
    <col min="11" max="12" width="10.57421875" style="0" customWidth="1"/>
  </cols>
  <sheetData>
    <row r="1" spans="2:3" ht="18.75">
      <c r="B1" s="85" t="str">
        <f>"Country Name:         "&amp;Scrap!B15</f>
        <v>Country Name:         </v>
      </c>
      <c r="C1" s="3"/>
    </row>
    <row r="2" spans="2:3" ht="18.75">
      <c r="B2" s="86" t="str">
        <f>"EU Name:                   "&amp;Scrap!B16</f>
        <v>EU Name:                   </v>
      </c>
      <c r="C2" s="3"/>
    </row>
    <row r="3" spans="2:3" ht="18.75">
      <c r="B3" s="86" t="str">
        <f>"Primary LF Vector:   "&amp;Scrap!B17</f>
        <v>Primary LF Vector:   </v>
      </c>
      <c r="C3" s="15"/>
    </row>
    <row r="4" ht="17.25" customHeight="1"/>
    <row r="5" spans="2:10" ht="21.75" customHeight="1">
      <c r="B5" s="166" t="s">
        <v>73</v>
      </c>
      <c r="C5" s="166"/>
      <c r="E5" s="211" t="s">
        <v>74</v>
      </c>
      <c r="F5" s="211"/>
      <c r="G5" s="211"/>
      <c r="H5" s="211"/>
      <c r="I5" s="211"/>
      <c r="J5" s="211"/>
    </row>
    <row r="6" spans="2:10" s="87" customFormat="1" ht="54.75" customHeight="1">
      <c r="B6" s="102" t="str">
        <f>'Start Here'!C6</f>
        <v>Target population </v>
      </c>
      <c r="C6" s="91">
        <f>'Start Here'!D6</f>
        <v>0</v>
      </c>
      <c r="D6" s="115"/>
      <c r="E6" s="209" t="str">
        <f>'Start Here'!F6</f>
        <v>Target population </v>
      </c>
      <c r="F6" s="210"/>
      <c r="G6" s="210"/>
      <c r="H6" s="210"/>
      <c r="I6" s="210"/>
      <c r="J6" s="91" t="str">
        <f>IF('Start Here'!G6="","NA",'Start Here'!G6)</f>
        <v>NA</v>
      </c>
    </row>
    <row r="7" spans="2:10" s="87" customFormat="1" ht="32.25" customHeight="1">
      <c r="B7" s="103" t="str">
        <f>'Start Here'!C7</f>
        <v>Number of children in target population</v>
      </c>
      <c r="C7" s="104">
        <f>'Start Here'!D7</f>
        <v>0</v>
      </c>
      <c r="D7" s="115"/>
      <c r="E7" s="215" t="str">
        <f>'Start Here'!F7</f>
        <v>Number of children in target population</v>
      </c>
      <c r="F7" s="216"/>
      <c r="G7" s="216"/>
      <c r="H7" s="216"/>
      <c r="I7" s="216"/>
      <c r="J7" s="91" t="str">
        <f>IF('Start Here'!G7="","NA",'Start Here'!G7)</f>
        <v>NA</v>
      </c>
    </row>
    <row r="8" spans="2:10" s="87" customFormat="1" ht="32.25" customHeight="1">
      <c r="B8" s="105" t="str">
        <f>'Start Here'!C8</f>
        <v>Number of primary schools in the EU</v>
      </c>
      <c r="C8" s="106">
        <f>'Start Here'!D8</f>
        <v>0</v>
      </c>
      <c r="D8" s="115"/>
      <c r="E8" s="209" t="str">
        <f>'Start Here'!F8</f>
        <v>Number of primary schools in the EU</v>
      </c>
      <c r="F8" s="210"/>
      <c r="G8" s="210"/>
      <c r="H8" s="210"/>
      <c r="I8" s="210"/>
      <c r="J8" s="91" t="str">
        <f>IF('Start Here'!G8="","NA",'Start Here'!G8)</f>
        <v>NA</v>
      </c>
    </row>
    <row r="9" spans="2:10" s="87" customFormat="1" ht="32.25" customHeight="1">
      <c r="B9" s="103" t="str">
        <f>'Start Here'!C9</f>
        <v>Predicted LF non-response rate</v>
      </c>
      <c r="C9" s="107">
        <f>'Start Here'!D9</f>
        <v>0</v>
      </c>
      <c r="D9" s="115"/>
      <c r="E9" s="215" t="str">
        <f>'Start Here'!F9</f>
        <v>Predicted STH non-response rate</v>
      </c>
      <c r="F9" s="216"/>
      <c r="G9" s="216"/>
      <c r="H9" s="216"/>
      <c r="I9" s="216"/>
      <c r="J9" s="142" t="str">
        <f>IF('Start Here'!G9="","NA",'Start Here'!G9)</f>
        <v>NA</v>
      </c>
    </row>
    <row r="10" spans="2:10" s="87" customFormat="1" ht="32.25" customHeight="1">
      <c r="B10" s="102" t="s">
        <v>136</v>
      </c>
      <c r="C10" s="108" t="e">
        <f>ROUNDDOWN(C7/C8,0)</f>
        <v>#DIV/0!</v>
      </c>
      <c r="D10" s="115"/>
      <c r="E10" s="209" t="s">
        <v>136</v>
      </c>
      <c r="F10" s="210"/>
      <c r="G10" s="210"/>
      <c r="H10" s="210"/>
      <c r="I10" s="210"/>
      <c r="J10" s="108" t="str">
        <f>IF(J9="NA","NA",ROUNDDOWN(J7/J8,0))</f>
        <v>NA</v>
      </c>
    </row>
    <row r="11" spans="2:6" ht="42.75" customHeight="1">
      <c r="B11" s="168" t="s">
        <v>41</v>
      </c>
      <c r="C11" s="168"/>
      <c r="D11" s="168"/>
      <c r="E11" s="168"/>
      <c r="F11" s="168"/>
    </row>
    <row r="12" spans="2:9" ht="66" customHeight="1">
      <c r="B12" s="169" t="str">
        <f>Scrap!B18&amp;" Census of  "&amp;C6</f>
        <v> Census of  0</v>
      </c>
      <c r="C12" s="169"/>
      <c r="D12" s="143"/>
      <c r="E12" s="170" t="str">
        <f>IF(J9="NA","NA",(Scrap!B18&amp;" Census of "&amp;J6))</f>
        <v>NA</v>
      </c>
      <c r="F12" s="170"/>
      <c r="G12" s="170"/>
      <c r="H12" s="170"/>
      <c r="I12" s="170"/>
    </row>
    <row r="13" spans="2:9" s="88" customFormat="1" ht="32.25" customHeight="1">
      <c r="B13" s="122" t="s">
        <v>106</v>
      </c>
      <c r="C13" s="109">
        <f>IF(Scrap!B17="Anopheles, Culex, or Mansonia",IF(MOD(C7,50)=0,(C7/50)-1,ROUNDDOWN((C7/50),0)),IF(MOD(C7,100)=0,(C7/50)-1,ROUNDDOWN((C7/100),0)))</f>
        <v>-1</v>
      </c>
      <c r="D13" s="116"/>
      <c r="E13" s="212" t="s">
        <v>103</v>
      </c>
      <c r="F13" s="213"/>
      <c r="G13" s="213"/>
      <c r="H13" s="213"/>
      <c r="I13" s="214"/>
    </row>
    <row r="14" spans="2:9" s="88" customFormat="1" ht="32.25" customHeight="1">
      <c r="B14" s="3"/>
      <c r="C14" s="8"/>
      <c r="D14" s="117"/>
      <c r="E14" s="97" t="s">
        <v>101</v>
      </c>
      <c r="F14" s="97" t="s">
        <v>98</v>
      </c>
      <c r="G14" s="97" t="s">
        <v>99</v>
      </c>
      <c r="H14" s="97" t="s">
        <v>100</v>
      </c>
      <c r="I14" s="98" t="s">
        <v>93</v>
      </c>
    </row>
    <row r="15" spans="2:9" s="88" customFormat="1" ht="32.25" customHeight="1">
      <c r="B15" s="37"/>
      <c r="C15" s="38"/>
      <c r="D15" s="117"/>
      <c r="E15" s="99">
        <f>'STH Critical Values'!D4</f>
        <v>0</v>
      </c>
      <c r="F15" s="99">
        <f>'STH Critical Values'!E4</f>
        <v>0</v>
      </c>
      <c r="G15" s="99">
        <f>'STH Critical Values'!F4</f>
        <v>0</v>
      </c>
      <c r="H15" s="99">
        <f>'STH Critical Values'!G4</f>
        <v>0</v>
      </c>
      <c r="I15" s="99">
        <f>'STH Critical Values'!H4</f>
        <v>0</v>
      </c>
    </row>
    <row r="16" spans="2:6" s="88" customFormat="1" ht="32.25" customHeight="1">
      <c r="B16" s="202"/>
      <c r="C16" s="202"/>
      <c r="D16" s="117"/>
      <c r="E16" s="119"/>
      <c r="F16" s="119"/>
    </row>
    <row r="17" spans="2:6" s="88" customFormat="1" ht="22.5" customHeight="1">
      <c r="B17" s="29"/>
      <c r="C17" s="29"/>
      <c r="D17" s="117"/>
      <c r="E17" s="120"/>
      <c r="F17" s="120"/>
    </row>
    <row r="18" spans="1:6" ht="18" customHeight="1">
      <c r="A18" s="60"/>
      <c r="B18" s="114"/>
      <c r="C18" s="114"/>
      <c r="D18" s="90"/>
      <c r="E18" s="120"/>
      <c r="F18" s="120"/>
    </row>
    <row r="19" spans="1:9" s="38" customFormat="1" ht="17.25" customHeight="1">
      <c r="A19" s="37"/>
      <c r="B19" s="100"/>
      <c r="C19" s="100"/>
      <c r="E19" s="121"/>
      <c r="F19" s="120"/>
      <c r="G19" s="37"/>
      <c r="H19" s="37"/>
      <c r="I19" s="37"/>
    </row>
    <row r="20" spans="1:9" s="38" customFormat="1" ht="31.5" customHeight="1">
      <c r="A20" s="37"/>
      <c r="B20" s="100"/>
      <c r="C20" s="100"/>
      <c r="D20" s="29"/>
      <c r="E20" s="120"/>
      <c r="F20" s="120"/>
      <c r="G20" s="37"/>
      <c r="H20" s="37"/>
      <c r="I20" s="37"/>
    </row>
    <row r="21" spans="1:9" s="38" customFormat="1" ht="28.5" customHeight="1">
      <c r="A21" s="63"/>
      <c r="B21" s="100"/>
      <c r="C21" s="100"/>
      <c r="D21" s="29"/>
      <c r="E21" s="120"/>
      <c r="F21" s="120"/>
      <c r="G21" s="37"/>
      <c r="H21" s="37"/>
      <c r="I21" s="37"/>
    </row>
    <row r="22" spans="2:6" ht="15">
      <c r="B22" s="100"/>
      <c r="C22" s="100"/>
      <c r="D22" s="29"/>
      <c r="E22" s="120"/>
      <c r="F22" s="120"/>
    </row>
    <row r="23" spans="2:6" ht="15">
      <c r="B23" s="100"/>
      <c r="C23" s="100"/>
      <c r="D23" s="1"/>
      <c r="E23" s="120"/>
      <c r="F23" s="120"/>
    </row>
    <row r="24" spans="2:6" ht="15">
      <c r="B24" s="100"/>
      <c r="C24" s="100"/>
      <c r="D24" s="1"/>
      <c r="E24" s="120"/>
      <c r="F24" s="120"/>
    </row>
    <row r="25" spans="2:6" ht="15">
      <c r="B25" s="100"/>
      <c r="C25" s="100"/>
      <c r="D25" s="1"/>
      <c r="E25" s="120"/>
      <c r="F25" s="120"/>
    </row>
    <row r="26" spans="2:6" ht="15">
      <c r="B26" s="100"/>
      <c r="C26" s="100"/>
      <c r="D26" s="1"/>
      <c r="E26" s="120"/>
      <c r="F26" s="120"/>
    </row>
    <row r="27" spans="2:6" ht="15">
      <c r="B27" s="100"/>
      <c r="C27" s="100"/>
      <c r="D27" s="1"/>
      <c r="E27" s="120"/>
      <c r="F27" s="120"/>
    </row>
    <row r="28" spans="2:6" ht="15">
      <c r="B28" s="100"/>
      <c r="C28" s="100"/>
      <c r="D28" s="1"/>
      <c r="E28" s="120"/>
      <c r="F28" s="120"/>
    </row>
    <row r="29" spans="2:6" ht="15">
      <c r="B29" s="100"/>
      <c r="C29" s="100"/>
      <c r="D29" s="1"/>
      <c r="E29" s="120"/>
      <c r="F29" s="120"/>
    </row>
    <row r="30" spans="2:6" ht="15">
      <c r="B30" s="100"/>
      <c r="C30" s="100"/>
      <c r="D30" s="1"/>
      <c r="E30" s="120"/>
      <c r="F30" s="120"/>
    </row>
    <row r="31" spans="2:6" ht="15">
      <c r="B31" s="100"/>
      <c r="C31" s="100"/>
      <c r="D31" s="1"/>
      <c r="E31" s="120"/>
      <c r="F31" s="120"/>
    </row>
    <row r="32" spans="2:6" ht="15">
      <c r="B32" s="100"/>
      <c r="C32" s="100"/>
      <c r="D32" s="1"/>
      <c r="E32" s="120"/>
      <c r="F32" s="120"/>
    </row>
    <row r="33" spans="2:6" ht="15">
      <c r="B33" s="100"/>
      <c r="C33" s="100"/>
      <c r="D33" s="1"/>
      <c r="E33" s="120"/>
      <c r="F33" s="120"/>
    </row>
    <row r="34" spans="2:6" ht="15">
      <c r="B34" s="100"/>
      <c r="C34" s="100"/>
      <c r="D34" s="1"/>
      <c r="E34" s="120"/>
      <c r="F34" s="120"/>
    </row>
    <row r="35" spans="2:6" ht="15">
      <c r="B35" s="100"/>
      <c r="C35" s="100"/>
      <c r="D35" s="1"/>
      <c r="E35" s="120"/>
      <c r="F35" s="120"/>
    </row>
    <row r="36" spans="2:6" ht="15">
      <c r="B36" s="100"/>
      <c r="C36" s="100"/>
      <c r="D36" s="1"/>
      <c r="E36" s="120"/>
      <c r="F36" s="120"/>
    </row>
    <row r="37" spans="2:6" ht="15">
      <c r="B37" s="100"/>
      <c r="C37" s="100"/>
      <c r="D37" s="1"/>
      <c r="E37" s="120"/>
      <c r="F37" s="120"/>
    </row>
    <row r="38" spans="2:6" ht="15">
      <c r="B38" s="100"/>
      <c r="C38" s="100"/>
      <c r="D38" s="1"/>
      <c r="E38" s="120"/>
      <c r="F38" s="120"/>
    </row>
    <row r="39" spans="2:6" ht="15">
      <c r="B39" s="100"/>
      <c r="C39" s="100"/>
      <c r="D39" s="1"/>
      <c r="E39" s="120"/>
      <c r="F39" s="120"/>
    </row>
    <row r="40" spans="2:6" ht="15">
      <c r="B40" s="100"/>
      <c r="C40" s="100"/>
      <c r="D40" s="1"/>
      <c r="E40" s="120"/>
      <c r="F40" s="120"/>
    </row>
    <row r="41" spans="2:6" ht="15">
      <c r="B41" s="100"/>
      <c r="C41" s="100"/>
      <c r="D41" s="1"/>
      <c r="E41" s="120"/>
      <c r="F41" s="120"/>
    </row>
    <row r="42" spans="2:6" ht="15">
      <c r="B42" s="100"/>
      <c r="C42" s="100"/>
      <c r="D42" s="1"/>
      <c r="E42" s="120"/>
      <c r="F42" s="120"/>
    </row>
    <row r="43" spans="2:6" ht="15">
      <c r="B43" s="100"/>
      <c r="C43" s="100"/>
      <c r="D43" s="1"/>
      <c r="E43" s="120"/>
      <c r="F43" s="120"/>
    </row>
    <row r="44" spans="2:6" ht="15">
      <c r="B44" s="100"/>
      <c r="C44" s="100"/>
      <c r="D44" s="1"/>
      <c r="E44" s="120"/>
      <c r="F44" s="120"/>
    </row>
    <row r="45" spans="2:6" ht="15">
      <c r="B45" s="100"/>
      <c r="C45" s="100"/>
      <c r="D45" s="1"/>
      <c r="E45" s="120"/>
      <c r="F45" s="120"/>
    </row>
    <row r="46" spans="2:6" ht="15">
      <c r="B46" s="100"/>
      <c r="C46" s="100"/>
      <c r="D46" s="1"/>
      <c r="E46" s="120"/>
      <c r="F46" s="120"/>
    </row>
    <row r="47" spans="2:6" ht="15">
      <c r="B47" s="100"/>
      <c r="C47" s="100"/>
      <c r="D47" s="1"/>
      <c r="E47" s="120"/>
      <c r="F47" s="120"/>
    </row>
    <row r="48" spans="2:6" ht="15">
      <c r="B48" s="100"/>
      <c r="C48" s="100"/>
      <c r="D48" s="1"/>
      <c r="E48" s="120"/>
      <c r="F48" s="120"/>
    </row>
    <row r="49" spans="2:6" ht="15">
      <c r="B49" s="100"/>
      <c r="C49" s="100"/>
      <c r="D49" s="1"/>
      <c r="E49" s="120"/>
      <c r="F49" s="120"/>
    </row>
    <row r="50" spans="2:6" ht="15">
      <c r="B50" s="100"/>
      <c r="C50" s="100"/>
      <c r="D50" s="1"/>
      <c r="E50" s="120"/>
      <c r="F50" s="120"/>
    </row>
    <row r="51" spans="2:6" ht="15">
      <c r="B51" s="100"/>
      <c r="C51" s="100"/>
      <c r="D51" s="1"/>
      <c r="E51" s="120"/>
      <c r="F51" s="120"/>
    </row>
    <row r="52" spans="2:6" ht="15">
      <c r="B52" s="100"/>
      <c r="C52" s="100"/>
      <c r="D52" s="1"/>
      <c r="E52" s="120"/>
      <c r="F52" s="120"/>
    </row>
    <row r="53" spans="2:6" ht="15">
      <c r="B53" s="100"/>
      <c r="C53" s="100"/>
      <c r="D53" s="1"/>
      <c r="E53" s="120"/>
      <c r="F53" s="120"/>
    </row>
    <row r="54" spans="2:6" ht="15">
      <c r="B54" s="100"/>
      <c r="C54" s="100"/>
      <c r="D54" s="1"/>
      <c r="E54" s="120"/>
      <c r="F54" s="120"/>
    </row>
    <row r="55" spans="2:6" ht="15">
      <c r="B55" s="100"/>
      <c r="C55" s="100"/>
      <c r="D55" s="1"/>
      <c r="E55" s="120"/>
      <c r="F55" s="120"/>
    </row>
    <row r="56" spans="2:6" ht="15">
      <c r="B56" s="100"/>
      <c r="C56" s="100"/>
      <c r="D56" s="1"/>
      <c r="E56" s="120"/>
      <c r="F56" s="120"/>
    </row>
    <row r="57" spans="2:6" ht="15">
      <c r="B57" s="100"/>
      <c r="C57" s="100"/>
      <c r="D57" s="1"/>
      <c r="E57" s="120"/>
      <c r="F57" s="120"/>
    </row>
    <row r="58" spans="2:6" ht="15">
      <c r="B58" s="100"/>
      <c r="C58" s="100"/>
      <c r="D58" s="1"/>
      <c r="E58" s="120"/>
      <c r="F58" s="120"/>
    </row>
    <row r="59" spans="2:6" ht="15">
      <c r="B59" s="100"/>
      <c r="C59" s="100"/>
      <c r="D59" s="1"/>
      <c r="E59" s="120"/>
      <c r="F59" s="120"/>
    </row>
    <row r="60" spans="2:6" ht="15">
      <c r="B60" s="100"/>
      <c r="C60" s="100"/>
      <c r="D60" s="1"/>
      <c r="E60" s="120"/>
      <c r="F60" s="120"/>
    </row>
    <row r="61" spans="2:6" ht="15">
      <c r="B61" s="100"/>
      <c r="C61" s="100"/>
      <c r="D61" s="1"/>
      <c r="E61" s="120"/>
      <c r="F61" s="120"/>
    </row>
    <row r="62" spans="2:6" ht="15">
      <c r="B62" s="100"/>
      <c r="C62" s="100"/>
      <c r="D62" s="1"/>
      <c r="E62" s="120"/>
      <c r="F62" s="120"/>
    </row>
    <row r="63" spans="2:6" ht="15">
      <c r="B63" s="100"/>
      <c r="C63" s="100"/>
      <c r="D63" s="1"/>
      <c r="E63" s="120"/>
      <c r="F63" s="120"/>
    </row>
    <row r="64" spans="2:6" ht="15">
      <c r="B64" s="100"/>
      <c r="C64" s="100"/>
      <c r="D64" s="1"/>
      <c r="E64" s="120"/>
      <c r="F64" s="120"/>
    </row>
    <row r="65" spans="2:6" ht="15">
      <c r="B65" s="100"/>
      <c r="C65" s="100"/>
      <c r="D65" s="1"/>
      <c r="E65" s="120"/>
      <c r="F65" s="120"/>
    </row>
    <row r="66" spans="2:6" ht="15">
      <c r="B66" s="100"/>
      <c r="C66" s="100"/>
      <c r="D66" s="1"/>
      <c r="E66" s="120"/>
      <c r="F66" s="120"/>
    </row>
    <row r="67" spans="2:6" ht="15">
      <c r="B67" s="100"/>
      <c r="C67" s="100"/>
      <c r="D67" s="1"/>
      <c r="E67" s="120"/>
      <c r="F67" s="120"/>
    </row>
    <row r="68" spans="2:6" ht="15">
      <c r="B68" s="100"/>
      <c r="C68" s="100"/>
      <c r="D68" s="1"/>
      <c r="E68" s="120"/>
      <c r="F68" s="120"/>
    </row>
    <row r="69" spans="2:6" ht="15">
      <c r="B69" s="100"/>
      <c r="C69" s="100"/>
      <c r="D69" s="1"/>
      <c r="E69" s="120"/>
      <c r="F69" s="120"/>
    </row>
    <row r="70" spans="2:6" ht="15">
      <c r="B70" s="100"/>
      <c r="C70" s="100"/>
      <c r="D70" s="1"/>
      <c r="E70" s="120"/>
      <c r="F70" s="120"/>
    </row>
    <row r="71" spans="2:6" ht="15">
      <c r="B71" s="100"/>
      <c r="C71" s="100"/>
      <c r="D71" s="1"/>
      <c r="E71" s="120"/>
      <c r="F71" s="120"/>
    </row>
    <row r="72" spans="2:6" ht="15">
      <c r="B72" s="100"/>
      <c r="C72" s="100"/>
      <c r="D72" s="1"/>
      <c r="E72" s="120"/>
      <c r="F72" s="120"/>
    </row>
    <row r="73" spans="2:6" ht="15">
      <c r="B73" s="100"/>
      <c r="C73" s="100"/>
      <c r="D73" s="1"/>
      <c r="E73" s="120"/>
      <c r="F73" s="120"/>
    </row>
    <row r="74" spans="2:6" ht="15">
      <c r="B74" s="100"/>
      <c r="C74" s="100"/>
      <c r="D74" s="1"/>
      <c r="E74" s="120"/>
      <c r="F74" s="120"/>
    </row>
    <row r="75" spans="2:6" ht="15">
      <c r="B75" s="100"/>
      <c r="C75" s="100"/>
      <c r="D75" s="1"/>
      <c r="E75" s="120"/>
      <c r="F75" s="120"/>
    </row>
    <row r="76" spans="2:6" ht="15">
      <c r="B76" s="100"/>
      <c r="C76" s="100"/>
      <c r="D76" s="1"/>
      <c r="E76" s="120"/>
      <c r="F76" s="120"/>
    </row>
    <row r="77" spans="2:6" ht="15">
      <c r="B77" s="100"/>
      <c r="C77" s="100"/>
      <c r="D77" s="1"/>
      <c r="E77" s="120"/>
      <c r="F77" s="120"/>
    </row>
    <row r="78" spans="2:6" ht="15">
      <c r="B78" s="100"/>
      <c r="C78" s="100"/>
      <c r="D78" s="1"/>
      <c r="E78" s="120"/>
      <c r="F78" s="120"/>
    </row>
    <row r="79" spans="2:6" ht="15">
      <c r="B79" s="100"/>
      <c r="C79" s="100"/>
      <c r="D79" s="1"/>
      <c r="E79" s="120"/>
      <c r="F79" s="120"/>
    </row>
    <row r="80" spans="2:6" ht="15">
      <c r="B80" s="100"/>
      <c r="C80" s="100"/>
      <c r="D80" s="1"/>
      <c r="E80" s="120"/>
      <c r="F80" s="120"/>
    </row>
    <row r="81" spans="2:6" ht="15">
      <c r="B81" s="100"/>
      <c r="C81" s="100"/>
      <c r="D81" s="1"/>
      <c r="E81" s="120"/>
      <c r="F81" s="120"/>
    </row>
    <row r="82" spans="2:6" ht="15">
      <c r="B82" s="100"/>
      <c r="C82" s="100"/>
      <c r="D82" s="1"/>
      <c r="E82" s="120"/>
      <c r="F82" s="120"/>
    </row>
    <row r="83" spans="2:6" ht="15">
      <c r="B83" s="100"/>
      <c r="C83" s="100"/>
      <c r="D83" s="1"/>
      <c r="E83" s="120"/>
      <c r="F83" s="120"/>
    </row>
    <row r="84" spans="2:6" ht="15">
      <c r="B84" s="100"/>
      <c r="C84" s="100"/>
      <c r="D84" s="1"/>
      <c r="E84" s="120"/>
      <c r="F84" s="120"/>
    </row>
    <row r="85" spans="2:6" ht="15">
      <c r="B85" s="100"/>
      <c r="C85" s="100"/>
      <c r="D85" s="1"/>
      <c r="E85" s="120"/>
      <c r="F85" s="120"/>
    </row>
    <row r="86" spans="2:6" ht="15">
      <c r="B86" s="100"/>
      <c r="C86" s="100"/>
      <c r="D86" s="1"/>
      <c r="E86" s="120"/>
      <c r="F86" s="120"/>
    </row>
    <row r="87" spans="2:6" ht="15">
      <c r="B87" s="100"/>
      <c r="C87" s="100"/>
      <c r="D87" s="1"/>
      <c r="E87" s="120"/>
      <c r="F87" s="120"/>
    </row>
    <row r="88" spans="2:6" ht="15">
      <c r="B88" s="100"/>
      <c r="C88" s="100"/>
      <c r="D88" s="1"/>
      <c r="E88" s="120"/>
      <c r="F88" s="120"/>
    </row>
    <row r="89" spans="2:6" ht="15">
      <c r="B89" s="100"/>
      <c r="C89" s="100"/>
      <c r="D89" s="1"/>
      <c r="E89" s="120"/>
      <c r="F89" s="120"/>
    </row>
    <row r="90" spans="2:6" ht="15">
      <c r="B90" s="100"/>
      <c r="C90" s="100"/>
      <c r="D90" s="1"/>
      <c r="E90" s="120"/>
      <c r="F90" s="120"/>
    </row>
    <row r="91" spans="2:6" ht="15">
      <c r="B91" s="100"/>
      <c r="C91" s="100"/>
      <c r="D91" s="1"/>
      <c r="E91" s="120"/>
      <c r="F91" s="120"/>
    </row>
    <row r="92" spans="2:6" ht="15">
      <c r="B92" s="100"/>
      <c r="C92" s="100"/>
      <c r="D92" s="1"/>
      <c r="E92" s="120"/>
      <c r="F92" s="120"/>
    </row>
    <row r="93" spans="2:6" ht="15">
      <c r="B93" s="100"/>
      <c r="C93" s="100"/>
      <c r="D93" s="1"/>
      <c r="E93" s="120"/>
      <c r="F93" s="120"/>
    </row>
    <row r="94" spans="2:6" ht="15">
      <c r="B94" s="100"/>
      <c r="C94" s="100"/>
      <c r="D94" s="1"/>
      <c r="E94" s="120"/>
      <c r="F94" s="120"/>
    </row>
    <row r="95" spans="2:6" ht="15">
      <c r="B95" s="100"/>
      <c r="C95" s="100"/>
      <c r="D95" s="1"/>
      <c r="E95" s="120"/>
      <c r="F95" s="120"/>
    </row>
    <row r="96" spans="2:6" ht="15">
      <c r="B96" s="100"/>
      <c r="C96" s="100"/>
      <c r="D96" s="1"/>
      <c r="E96" s="120"/>
      <c r="F96" s="120"/>
    </row>
    <row r="97" spans="2:6" ht="15">
      <c r="B97" s="100"/>
      <c r="C97" s="100"/>
      <c r="D97" s="1"/>
      <c r="E97" s="120"/>
      <c r="F97" s="120"/>
    </row>
    <row r="98" spans="2:6" ht="15">
      <c r="B98" s="100"/>
      <c r="C98" s="100"/>
      <c r="D98" s="1"/>
      <c r="E98" s="120"/>
      <c r="F98" s="120"/>
    </row>
    <row r="99" spans="2:6" ht="15">
      <c r="B99" s="100"/>
      <c r="C99" s="100"/>
      <c r="D99" s="1"/>
      <c r="E99" s="120"/>
      <c r="F99" s="120"/>
    </row>
    <row r="100" spans="2:6" ht="15">
      <c r="B100" s="100"/>
      <c r="C100" s="100"/>
      <c r="D100" s="1"/>
      <c r="E100" s="120"/>
      <c r="F100" s="120"/>
    </row>
    <row r="101" spans="2:6" ht="15">
      <c r="B101" s="100"/>
      <c r="C101" s="100"/>
      <c r="D101" s="1"/>
      <c r="E101" s="120"/>
      <c r="F101" s="120"/>
    </row>
    <row r="102" spans="2:6" ht="15">
      <c r="B102" s="100"/>
      <c r="C102" s="100"/>
      <c r="D102" s="1"/>
      <c r="E102" s="120"/>
      <c r="F102" s="120"/>
    </row>
    <row r="103" spans="2:6" ht="15">
      <c r="B103" s="100"/>
      <c r="C103" s="100"/>
      <c r="D103" s="1"/>
      <c r="E103" s="120"/>
      <c r="F103" s="120"/>
    </row>
    <row r="104" spans="2:6" ht="15">
      <c r="B104" s="100"/>
      <c r="C104" s="100"/>
      <c r="D104" s="1"/>
      <c r="E104" s="120"/>
      <c r="F104" s="120"/>
    </row>
    <row r="105" spans="2:6" ht="15">
      <c r="B105" s="100"/>
      <c r="C105" s="100"/>
      <c r="D105" s="1"/>
      <c r="E105" s="120"/>
      <c r="F105" s="120"/>
    </row>
    <row r="106" spans="2:6" ht="15">
      <c r="B106" s="100"/>
      <c r="C106" s="100"/>
      <c r="D106" s="1"/>
      <c r="E106" s="120"/>
      <c r="F106" s="120"/>
    </row>
    <row r="107" spans="2:6" ht="15">
      <c r="B107" s="100"/>
      <c r="C107" s="100"/>
      <c r="D107" s="1"/>
      <c r="E107" s="120"/>
      <c r="F107" s="120"/>
    </row>
    <row r="108" spans="2:6" ht="15">
      <c r="B108" s="100"/>
      <c r="C108" s="100"/>
      <c r="D108" s="1"/>
      <c r="E108" s="120"/>
      <c r="F108" s="120"/>
    </row>
    <row r="109" spans="2:6" ht="15">
      <c r="B109" s="100"/>
      <c r="C109" s="100"/>
      <c r="D109" s="1"/>
      <c r="E109" s="120"/>
      <c r="F109" s="120"/>
    </row>
    <row r="110" spans="2:6" ht="15">
      <c r="B110" s="100"/>
      <c r="C110" s="100"/>
      <c r="D110" s="1"/>
      <c r="E110" s="120"/>
      <c r="F110" s="120"/>
    </row>
    <row r="111" spans="2:6" ht="15">
      <c r="B111" s="100"/>
      <c r="C111" s="100"/>
      <c r="D111" s="1"/>
      <c r="E111" s="120"/>
      <c r="F111" s="120"/>
    </row>
    <row r="112" spans="2:6" ht="15">
      <c r="B112" s="100"/>
      <c r="C112" s="100"/>
      <c r="D112" s="1"/>
      <c r="E112" s="120"/>
      <c r="F112" s="120"/>
    </row>
    <row r="113" spans="2:6" ht="15">
      <c r="B113" s="100"/>
      <c r="C113" s="100"/>
      <c r="D113" s="1"/>
      <c r="E113" s="120"/>
      <c r="F113" s="120"/>
    </row>
    <row r="114" spans="2:6" ht="15">
      <c r="B114" s="100"/>
      <c r="C114" s="100"/>
      <c r="D114" s="1"/>
      <c r="E114" s="120"/>
      <c r="F114" s="120"/>
    </row>
    <row r="115" spans="2:6" ht="15">
      <c r="B115" s="100"/>
      <c r="C115" s="100"/>
      <c r="D115" s="1"/>
      <c r="E115" s="120"/>
      <c r="F115" s="120"/>
    </row>
    <row r="116" spans="2:6" ht="15">
      <c r="B116" s="100"/>
      <c r="C116" s="100"/>
      <c r="D116" s="1"/>
      <c r="E116" s="120"/>
      <c r="F116" s="120"/>
    </row>
    <row r="117" spans="2:6" ht="15">
      <c r="B117" s="100"/>
      <c r="C117" s="100"/>
      <c r="D117" s="1"/>
      <c r="E117" s="120"/>
      <c r="F117" s="120"/>
    </row>
    <row r="118" spans="2:6" ht="15">
      <c r="B118" s="100"/>
      <c r="C118" s="100"/>
      <c r="D118" s="1"/>
      <c r="E118" s="120"/>
      <c r="F118" s="120"/>
    </row>
    <row r="119" spans="2:6" ht="15">
      <c r="B119" s="100"/>
      <c r="C119" s="100"/>
      <c r="D119" s="1"/>
      <c r="E119" s="120"/>
      <c r="F119" s="120"/>
    </row>
    <row r="120" spans="2:6" ht="15">
      <c r="B120" s="100"/>
      <c r="C120" s="100"/>
      <c r="D120" s="1"/>
      <c r="E120" s="120"/>
      <c r="F120" s="120"/>
    </row>
    <row r="121" spans="2:6" ht="15">
      <c r="B121" s="100"/>
      <c r="C121" s="100"/>
      <c r="D121" s="1"/>
      <c r="E121" s="120"/>
      <c r="F121" s="120"/>
    </row>
    <row r="122" spans="2:6" ht="15">
      <c r="B122" s="100"/>
      <c r="C122" s="100"/>
      <c r="D122" s="1"/>
      <c r="E122" s="120"/>
      <c r="F122" s="120"/>
    </row>
    <row r="123" spans="2:6" ht="15">
      <c r="B123" s="100"/>
      <c r="C123" s="100"/>
      <c r="D123" s="1"/>
      <c r="E123" s="120"/>
      <c r="F123" s="120"/>
    </row>
    <row r="124" spans="2:6" ht="15">
      <c r="B124" s="100"/>
      <c r="C124" s="100"/>
      <c r="D124" s="1"/>
      <c r="E124" s="120"/>
      <c r="F124" s="120"/>
    </row>
    <row r="125" spans="2:6" ht="15">
      <c r="B125" s="100"/>
      <c r="C125" s="100"/>
      <c r="D125" s="1"/>
      <c r="E125" s="120"/>
      <c r="F125" s="120"/>
    </row>
    <row r="126" spans="2:6" ht="15">
      <c r="B126" s="100"/>
      <c r="C126" s="100"/>
      <c r="D126" s="1"/>
      <c r="E126" s="120"/>
      <c r="F126" s="120"/>
    </row>
    <row r="127" spans="2:6" ht="15">
      <c r="B127" s="100"/>
      <c r="C127" s="100"/>
      <c r="D127" s="1"/>
      <c r="E127" s="120"/>
      <c r="F127" s="120"/>
    </row>
    <row r="128" spans="2:6" ht="15">
      <c r="B128" s="100"/>
      <c r="C128" s="100"/>
      <c r="D128" s="1"/>
      <c r="E128" s="120"/>
      <c r="F128" s="120"/>
    </row>
    <row r="129" spans="2:6" ht="15">
      <c r="B129" s="100"/>
      <c r="C129" s="100"/>
      <c r="D129" s="1"/>
      <c r="E129" s="120"/>
      <c r="F129" s="120"/>
    </row>
    <row r="130" spans="2:6" ht="15">
      <c r="B130" s="100"/>
      <c r="C130" s="100"/>
      <c r="D130" s="1"/>
      <c r="E130" s="120"/>
      <c r="F130" s="120"/>
    </row>
    <row r="131" spans="2:6" ht="15">
      <c r="B131" s="100"/>
      <c r="C131" s="100"/>
      <c r="D131" s="1"/>
      <c r="E131" s="120"/>
      <c r="F131" s="120"/>
    </row>
    <row r="132" spans="2:6" ht="15">
      <c r="B132" s="100"/>
      <c r="C132" s="100"/>
      <c r="D132" s="1"/>
      <c r="E132" s="120"/>
      <c r="F132" s="120"/>
    </row>
    <row r="133" spans="2:6" ht="15">
      <c r="B133" s="100"/>
      <c r="C133" s="100"/>
      <c r="D133" s="1"/>
      <c r="E133" s="120"/>
      <c r="F133" s="120"/>
    </row>
    <row r="134" spans="2:6" ht="15">
      <c r="B134" s="100"/>
      <c r="C134" s="100"/>
      <c r="D134" s="1"/>
      <c r="E134" s="120"/>
      <c r="F134" s="120"/>
    </row>
    <row r="135" spans="2:6" ht="15">
      <c r="B135" s="100"/>
      <c r="C135" s="100"/>
      <c r="D135" s="1"/>
      <c r="E135" s="120"/>
      <c r="F135" s="120"/>
    </row>
    <row r="136" spans="2:6" ht="15">
      <c r="B136" s="100"/>
      <c r="C136" s="100"/>
      <c r="D136" s="1"/>
      <c r="E136" s="120"/>
      <c r="F136" s="120"/>
    </row>
    <row r="137" spans="2:6" ht="15">
      <c r="B137" s="100"/>
      <c r="C137" s="100"/>
      <c r="D137" s="1"/>
      <c r="E137" s="120"/>
      <c r="F137" s="120"/>
    </row>
    <row r="138" spans="2:6" ht="15">
      <c r="B138" s="100"/>
      <c r="C138" s="100"/>
      <c r="D138" s="1"/>
      <c r="E138" s="120"/>
      <c r="F138" s="120"/>
    </row>
    <row r="139" spans="2:6" ht="15">
      <c r="B139" s="100"/>
      <c r="C139" s="100"/>
      <c r="D139" s="1"/>
      <c r="E139" s="120"/>
      <c r="F139" s="120"/>
    </row>
    <row r="140" spans="2:6" ht="15">
      <c r="B140" s="100"/>
      <c r="C140" s="100"/>
      <c r="D140" s="1"/>
      <c r="E140" s="120"/>
      <c r="F140" s="120"/>
    </row>
    <row r="141" spans="2:6" ht="15">
      <c r="B141" s="100"/>
      <c r="C141" s="100"/>
      <c r="D141" s="1"/>
      <c r="E141" s="120"/>
      <c r="F141" s="120"/>
    </row>
    <row r="142" spans="2:6" ht="15">
      <c r="B142" s="100"/>
      <c r="C142" s="100"/>
      <c r="D142" s="1"/>
      <c r="E142" s="120"/>
      <c r="F142" s="120"/>
    </row>
    <row r="143" spans="2:6" ht="15">
      <c r="B143" s="100"/>
      <c r="C143" s="100"/>
      <c r="D143" s="1"/>
      <c r="E143" s="120"/>
      <c r="F143" s="120"/>
    </row>
    <row r="144" spans="2:6" ht="15">
      <c r="B144" s="100"/>
      <c r="C144" s="100"/>
      <c r="D144" s="1"/>
      <c r="E144" s="120"/>
      <c r="F144" s="120"/>
    </row>
    <row r="145" spans="2:6" ht="15">
      <c r="B145" s="100"/>
      <c r="C145" s="100"/>
      <c r="D145" s="1"/>
      <c r="E145" s="120"/>
      <c r="F145" s="120"/>
    </row>
    <row r="146" spans="2:6" ht="15">
      <c r="B146" s="100"/>
      <c r="C146" s="100"/>
      <c r="D146" s="1"/>
      <c r="E146" s="120"/>
      <c r="F146" s="120"/>
    </row>
    <row r="147" spans="2:6" ht="15">
      <c r="B147" s="100"/>
      <c r="C147" s="100"/>
      <c r="D147" s="1"/>
      <c r="E147" s="120"/>
      <c r="F147" s="120"/>
    </row>
    <row r="148" spans="2:6" ht="15">
      <c r="B148" s="100"/>
      <c r="C148" s="100"/>
      <c r="D148" s="1"/>
      <c r="E148" s="120"/>
      <c r="F148" s="120"/>
    </row>
    <row r="149" spans="2:6" ht="15">
      <c r="B149" s="100"/>
      <c r="C149" s="100"/>
      <c r="D149" s="1"/>
      <c r="E149" s="120"/>
      <c r="F149" s="120"/>
    </row>
    <row r="150" spans="2:6" ht="15">
      <c r="B150" s="100"/>
      <c r="C150" s="100"/>
      <c r="D150" s="1"/>
      <c r="E150" s="120"/>
      <c r="F150" s="120"/>
    </row>
    <row r="151" spans="2:6" ht="15">
      <c r="B151" s="100"/>
      <c r="C151" s="100"/>
      <c r="D151" s="1"/>
      <c r="E151" s="120"/>
      <c r="F151" s="120"/>
    </row>
    <row r="152" spans="2:6" ht="15">
      <c r="B152" s="100"/>
      <c r="C152" s="100"/>
      <c r="D152" s="1"/>
      <c r="E152" s="120"/>
      <c r="F152" s="120"/>
    </row>
    <row r="153" spans="2:6" ht="15">
      <c r="B153" s="100"/>
      <c r="C153" s="100"/>
      <c r="D153" s="1"/>
      <c r="E153" s="120"/>
      <c r="F153" s="120"/>
    </row>
    <row r="154" spans="2:6" ht="15">
      <c r="B154" s="100"/>
      <c r="C154" s="100"/>
      <c r="D154" s="1"/>
      <c r="E154" s="120"/>
      <c r="F154" s="120"/>
    </row>
    <row r="155" spans="2:6" ht="15">
      <c r="B155" s="100"/>
      <c r="C155" s="100"/>
      <c r="D155" s="1"/>
      <c r="E155" s="120"/>
      <c r="F155" s="120"/>
    </row>
    <row r="156" spans="2:6" ht="15">
      <c r="B156" s="100"/>
      <c r="C156" s="100"/>
      <c r="D156" s="1"/>
      <c r="E156" s="120"/>
      <c r="F156" s="120"/>
    </row>
    <row r="157" spans="2:6" ht="15">
      <c r="B157" s="100"/>
      <c r="C157" s="100"/>
      <c r="D157" s="1"/>
      <c r="E157" s="120"/>
      <c r="F157" s="120"/>
    </row>
    <row r="158" spans="2:6" ht="15">
      <c r="B158" s="100"/>
      <c r="C158" s="100"/>
      <c r="D158" s="1"/>
      <c r="E158" s="120"/>
      <c r="F158" s="120"/>
    </row>
    <row r="159" spans="2:6" ht="15">
      <c r="B159" s="100"/>
      <c r="C159" s="100"/>
      <c r="D159" s="1"/>
      <c r="E159" s="120"/>
      <c r="F159" s="120"/>
    </row>
    <row r="160" spans="2:6" ht="15">
      <c r="B160" s="100"/>
      <c r="C160" s="100"/>
      <c r="D160" s="1"/>
      <c r="E160" s="120"/>
      <c r="F160" s="120"/>
    </row>
    <row r="161" spans="2:6" ht="15">
      <c r="B161" s="100"/>
      <c r="C161" s="100"/>
      <c r="D161" s="1"/>
      <c r="E161" s="120"/>
      <c r="F161" s="120"/>
    </row>
    <row r="162" spans="2:6" ht="15">
      <c r="B162" s="100"/>
      <c r="C162" s="100"/>
      <c r="D162" s="1"/>
      <c r="E162" s="120"/>
      <c r="F162" s="120"/>
    </row>
    <row r="163" spans="2:6" ht="15">
      <c r="B163" s="100"/>
      <c r="C163" s="100"/>
      <c r="D163" s="1"/>
      <c r="E163" s="120"/>
      <c r="F163" s="120"/>
    </row>
    <row r="164" spans="2:6" ht="15">
      <c r="B164" s="100"/>
      <c r="C164" s="100"/>
      <c r="D164" s="1"/>
      <c r="E164" s="120"/>
      <c r="F164" s="120"/>
    </row>
    <row r="165" spans="2:6" ht="15">
      <c r="B165" s="100"/>
      <c r="C165" s="100"/>
      <c r="D165" s="1"/>
      <c r="E165" s="120"/>
      <c r="F165" s="120"/>
    </row>
    <row r="166" spans="2:6" ht="15">
      <c r="B166" s="100"/>
      <c r="C166" s="100"/>
      <c r="D166" s="1"/>
      <c r="E166" s="120"/>
      <c r="F166" s="120"/>
    </row>
    <row r="167" spans="2:6" ht="15">
      <c r="B167" s="100"/>
      <c r="C167" s="100"/>
      <c r="D167" s="1"/>
      <c r="E167" s="120"/>
      <c r="F167" s="120"/>
    </row>
    <row r="168" spans="2:6" ht="15">
      <c r="B168" s="100"/>
      <c r="C168" s="100"/>
      <c r="D168" s="1"/>
      <c r="E168" s="120"/>
      <c r="F168" s="120"/>
    </row>
    <row r="169" spans="2:6" ht="15">
      <c r="B169" s="100"/>
      <c r="C169" s="100"/>
      <c r="D169" s="1"/>
      <c r="E169" s="120"/>
      <c r="F169" s="120"/>
    </row>
    <row r="170" spans="2:6" ht="15">
      <c r="B170" s="100"/>
      <c r="C170" s="100"/>
      <c r="D170" s="1"/>
      <c r="E170" s="120"/>
      <c r="F170" s="120"/>
    </row>
    <row r="171" spans="2:6" ht="15">
      <c r="B171" s="100"/>
      <c r="C171" s="100"/>
      <c r="D171" s="1"/>
      <c r="E171" s="120"/>
      <c r="F171" s="120"/>
    </row>
    <row r="172" spans="2:6" ht="15">
      <c r="B172" s="100"/>
      <c r="C172" s="100"/>
      <c r="D172" s="1"/>
      <c r="E172" s="120"/>
      <c r="F172" s="120"/>
    </row>
    <row r="173" spans="2:6" ht="15">
      <c r="B173" s="100"/>
      <c r="C173" s="100"/>
      <c r="D173" s="1"/>
      <c r="E173" s="120"/>
      <c r="F173" s="120"/>
    </row>
    <row r="174" spans="2:6" ht="15">
      <c r="B174" s="100"/>
      <c r="C174" s="100"/>
      <c r="D174" s="1"/>
      <c r="E174" s="120"/>
      <c r="F174" s="120"/>
    </row>
    <row r="175" spans="2:6" ht="15">
      <c r="B175" s="100"/>
      <c r="C175" s="100"/>
      <c r="D175" s="1"/>
      <c r="E175" s="120"/>
      <c r="F175" s="120"/>
    </row>
    <row r="176" spans="2:6" ht="15">
      <c r="B176" s="100"/>
      <c r="C176" s="100"/>
      <c r="D176" s="1"/>
      <c r="E176" s="120"/>
      <c r="F176" s="120"/>
    </row>
    <row r="177" spans="2:6" ht="15">
      <c r="B177" s="100"/>
      <c r="C177" s="100"/>
      <c r="D177" s="1"/>
      <c r="E177" s="120"/>
      <c r="F177" s="120"/>
    </row>
    <row r="178" spans="2:6" ht="15">
      <c r="B178" s="100"/>
      <c r="C178" s="100"/>
      <c r="D178" s="1"/>
      <c r="E178" s="120"/>
      <c r="F178" s="120"/>
    </row>
    <row r="179" spans="2:6" ht="15">
      <c r="B179" s="100"/>
      <c r="C179" s="100"/>
      <c r="D179" s="1"/>
      <c r="E179" s="120"/>
      <c r="F179" s="120"/>
    </row>
    <row r="180" spans="2:6" ht="15">
      <c r="B180" s="100"/>
      <c r="C180" s="100"/>
      <c r="D180" s="1"/>
      <c r="E180" s="120"/>
      <c r="F180" s="120"/>
    </row>
    <row r="181" spans="2:6" ht="15">
      <c r="B181" s="100"/>
      <c r="C181" s="100"/>
      <c r="D181" s="1"/>
      <c r="E181" s="120"/>
      <c r="F181" s="120"/>
    </row>
    <row r="182" spans="2:6" ht="15">
      <c r="B182" s="100"/>
      <c r="C182" s="100"/>
      <c r="D182" s="1"/>
      <c r="E182" s="120"/>
      <c r="F182" s="120"/>
    </row>
    <row r="183" spans="2:6" ht="15">
      <c r="B183" s="100"/>
      <c r="C183" s="100"/>
      <c r="D183" s="1"/>
      <c r="E183" s="120"/>
      <c r="F183" s="120"/>
    </row>
    <row r="184" spans="2:6" ht="15">
      <c r="B184" s="100"/>
      <c r="C184" s="100"/>
      <c r="D184" s="1"/>
      <c r="E184" s="120"/>
      <c r="F184" s="120"/>
    </row>
    <row r="185" spans="2:6" ht="15">
      <c r="B185" s="100"/>
      <c r="C185" s="100"/>
      <c r="D185" s="1"/>
      <c r="E185" s="120"/>
      <c r="F185" s="120"/>
    </row>
    <row r="186" spans="2:6" ht="15">
      <c r="B186" s="100"/>
      <c r="C186" s="100"/>
      <c r="D186" s="1"/>
      <c r="E186" s="120"/>
      <c r="F186" s="120"/>
    </row>
    <row r="187" spans="2:6" ht="15">
      <c r="B187" s="100"/>
      <c r="C187" s="100"/>
      <c r="D187" s="1"/>
      <c r="E187" s="120"/>
      <c r="F187" s="120"/>
    </row>
    <row r="188" spans="2:6" ht="15">
      <c r="B188" s="100"/>
      <c r="C188" s="100"/>
      <c r="D188" s="1"/>
      <c r="E188" s="120"/>
      <c r="F188" s="120"/>
    </row>
    <row r="189" spans="2:6" ht="15">
      <c r="B189" s="100"/>
      <c r="C189" s="100"/>
      <c r="D189" s="1"/>
      <c r="E189" s="120"/>
      <c r="F189" s="120"/>
    </row>
    <row r="190" spans="2:6" ht="15">
      <c r="B190" s="100"/>
      <c r="C190" s="100"/>
      <c r="D190" s="1"/>
      <c r="E190" s="120"/>
      <c r="F190" s="120"/>
    </row>
    <row r="191" spans="2:6" ht="15">
      <c r="B191" s="100"/>
      <c r="C191" s="100"/>
      <c r="D191" s="1"/>
      <c r="E191" s="120"/>
      <c r="F191" s="120"/>
    </row>
    <row r="192" spans="2:6" ht="15">
      <c r="B192" s="100"/>
      <c r="C192" s="100"/>
      <c r="D192" s="1"/>
      <c r="E192" s="120"/>
      <c r="F192" s="120"/>
    </row>
    <row r="193" spans="2:6" ht="15">
      <c r="B193" s="100"/>
      <c r="C193" s="100"/>
      <c r="D193" s="1"/>
      <c r="E193" s="120"/>
      <c r="F193" s="120"/>
    </row>
    <row r="194" spans="2:6" ht="15">
      <c r="B194" s="100"/>
      <c r="C194" s="100"/>
      <c r="D194" s="1"/>
      <c r="E194" s="120"/>
      <c r="F194" s="120"/>
    </row>
    <row r="195" spans="2:6" ht="15">
      <c r="B195" s="100"/>
      <c r="C195" s="100"/>
      <c r="D195" s="1"/>
      <c r="E195" s="120"/>
      <c r="F195" s="120"/>
    </row>
    <row r="196" spans="2:6" ht="15">
      <c r="B196" s="100"/>
      <c r="C196" s="100"/>
      <c r="D196" s="1"/>
      <c r="E196" s="120"/>
      <c r="F196" s="120"/>
    </row>
    <row r="197" spans="2:6" ht="15">
      <c r="B197" s="100"/>
      <c r="C197" s="100"/>
      <c r="D197" s="1"/>
      <c r="E197" s="120"/>
      <c r="F197" s="120"/>
    </row>
    <row r="198" spans="2:6" ht="15">
      <c r="B198" s="100"/>
      <c r="C198" s="100"/>
      <c r="D198" s="1"/>
      <c r="E198" s="120"/>
      <c r="F198" s="120"/>
    </row>
    <row r="199" spans="2:6" ht="15">
      <c r="B199" s="100"/>
      <c r="C199" s="100"/>
      <c r="D199" s="1"/>
      <c r="E199" s="120"/>
      <c r="F199" s="120"/>
    </row>
    <row r="200" spans="2:6" ht="15">
      <c r="B200" s="100"/>
      <c r="C200" s="100"/>
      <c r="D200" s="1"/>
      <c r="E200" s="120"/>
      <c r="F200" s="120"/>
    </row>
    <row r="201" spans="2:6" ht="15">
      <c r="B201" s="100"/>
      <c r="C201" s="100"/>
      <c r="D201" s="1"/>
      <c r="E201" s="120"/>
      <c r="F201" s="120"/>
    </row>
    <row r="202" spans="2:6" ht="15">
      <c r="B202" s="100"/>
      <c r="C202" s="100"/>
      <c r="D202" s="1"/>
      <c r="E202" s="120"/>
      <c r="F202" s="120"/>
    </row>
    <row r="203" spans="2:6" ht="15">
      <c r="B203" s="100"/>
      <c r="C203" s="100"/>
      <c r="D203" s="1"/>
      <c r="E203" s="120"/>
      <c r="F203" s="120"/>
    </row>
    <row r="204" spans="2:6" ht="15">
      <c r="B204" s="100"/>
      <c r="C204" s="100"/>
      <c r="D204" s="1"/>
      <c r="E204" s="120"/>
      <c r="F204" s="120"/>
    </row>
    <row r="205" spans="2:6" ht="15">
      <c r="B205" s="100"/>
      <c r="C205" s="100"/>
      <c r="D205" s="1"/>
      <c r="E205" s="120"/>
      <c r="F205" s="120"/>
    </row>
    <row r="206" spans="2:6" ht="15">
      <c r="B206" s="100"/>
      <c r="C206" s="100"/>
      <c r="D206" s="1"/>
      <c r="E206" s="120"/>
      <c r="F206" s="120"/>
    </row>
    <row r="207" spans="2:6" ht="15">
      <c r="B207" s="100"/>
      <c r="C207" s="100"/>
      <c r="D207" s="1"/>
      <c r="E207" s="120"/>
      <c r="F207" s="120"/>
    </row>
    <row r="208" spans="2:6" ht="15">
      <c r="B208" s="100"/>
      <c r="C208" s="100"/>
      <c r="D208" s="1"/>
      <c r="E208" s="120"/>
      <c r="F208" s="120"/>
    </row>
    <row r="209" spans="2:6" ht="15">
      <c r="B209" s="100"/>
      <c r="C209" s="100"/>
      <c r="D209" s="1"/>
      <c r="E209" s="120"/>
      <c r="F209" s="120"/>
    </row>
    <row r="210" spans="2:6" ht="15">
      <c r="B210" s="100"/>
      <c r="C210" s="100"/>
      <c r="D210" s="1"/>
      <c r="E210" s="120"/>
      <c r="F210" s="120"/>
    </row>
    <row r="211" spans="2:6" ht="15">
      <c r="B211" s="100"/>
      <c r="C211" s="100"/>
      <c r="D211" s="1"/>
      <c r="E211" s="120"/>
      <c r="F211" s="120"/>
    </row>
    <row r="212" spans="2:6" ht="15">
      <c r="B212" s="100"/>
      <c r="C212" s="100"/>
      <c r="D212" s="1"/>
      <c r="E212" s="120"/>
      <c r="F212" s="120"/>
    </row>
    <row r="213" spans="2:6" ht="15">
      <c r="B213" s="100"/>
      <c r="C213" s="100"/>
      <c r="D213" s="1"/>
      <c r="E213" s="120"/>
      <c r="F213" s="120"/>
    </row>
    <row r="214" spans="2:6" ht="15">
      <c r="B214" s="100"/>
      <c r="C214" s="100"/>
      <c r="D214" s="1"/>
      <c r="E214" s="120"/>
      <c r="F214" s="120"/>
    </row>
    <row r="215" spans="2:6" ht="15">
      <c r="B215" s="100"/>
      <c r="C215" s="100"/>
      <c r="D215" s="1"/>
      <c r="E215" s="120"/>
      <c r="F215" s="120"/>
    </row>
    <row r="216" spans="2:6" ht="15">
      <c r="B216" s="100"/>
      <c r="C216" s="100"/>
      <c r="D216" s="1"/>
      <c r="E216" s="120"/>
      <c r="F216" s="120"/>
    </row>
    <row r="217" spans="2:6" ht="15">
      <c r="B217" s="100"/>
      <c r="C217" s="100"/>
      <c r="D217" s="1"/>
      <c r="E217" s="120"/>
      <c r="F217" s="120"/>
    </row>
    <row r="218" spans="2:6" ht="15">
      <c r="B218" s="100"/>
      <c r="C218" s="100"/>
      <c r="D218" s="1"/>
      <c r="E218" s="120"/>
      <c r="F218" s="120"/>
    </row>
    <row r="219" spans="2:6" ht="15">
      <c r="B219" s="100"/>
      <c r="C219" s="100"/>
      <c r="D219" s="1"/>
      <c r="E219" s="120"/>
      <c r="F219" s="120"/>
    </row>
    <row r="220" spans="2:6" ht="15">
      <c r="B220" s="100"/>
      <c r="C220" s="100"/>
      <c r="D220" s="1"/>
      <c r="E220" s="120"/>
      <c r="F220" s="120"/>
    </row>
    <row r="221" spans="2:6" ht="15">
      <c r="B221" s="100"/>
      <c r="C221" s="100"/>
      <c r="D221" s="1"/>
      <c r="E221" s="120"/>
      <c r="F221" s="120"/>
    </row>
    <row r="222" spans="2:6" ht="15">
      <c r="B222" s="100"/>
      <c r="C222" s="100"/>
      <c r="D222" s="1"/>
      <c r="E222" s="120"/>
      <c r="F222" s="120"/>
    </row>
    <row r="223" spans="2:6" ht="15">
      <c r="B223" s="100"/>
      <c r="C223" s="100"/>
      <c r="D223" s="1"/>
      <c r="E223" s="120"/>
      <c r="F223" s="120"/>
    </row>
    <row r="224" spans="2:6" ht="15">
      <c r="B224" s="100"/>
      <c r="C224" s="100"/>
      <c r="D224" s="1"/>
      <c r="E224" s="120"/>
      <c r="F224" s="120"/>
    </row>
    <row r="225" spans="2:6" ht="15">
      <c r="B225" s="100"/>
      <c r="C225" s="100"/>
      <c r="D225" s="1"/>
      <c r="E225" s="120"/>
      <c r="F225" s="120"/>
    </row>
    <row r="226" spans="2:6" ht="15">
      <c r="B226" s="100"/>
      <c r="C226" s="100"/>
      <c r="D226" s="1"/>
      <c r="E226" s="120"/>
      <c r="F226" s="120"/>
    </row>
    <row r="227" spans="2:6" ht="15">
      <c r="B227" s="100"/>
      <c r="C227" s="100"/>
      <c r="D227" s="1"/>
      <c r="E227" s="120"/>
      <c r="F227" s="120"/>
    </row>
    <row r="228" spans="2:6" ht="15">
      <c r="B228" s="100"/>
      <c r="C228" s="100"/>
      <c r="D228" s="1"/>
      <c r="E228" s="120"/>
      <c r="F228" s="120"/>
    </row>
    <row r="229" spans="2:6" ht="15">
      <c r="B229" s="100"/>
      <c r="C229" s="100"/>
      <c r="D229" s="1"/>
      <c r="E229" s="120"/>
      <c r="F229" s="120"/>
    </row>
    <row r="230" spans="2:6" ht="15">
      <c r="B230" s="100"/>
      <c r="C230" s="100"/>
      <c r="D230" s="1"/>
      <c r="E230" s="120"/>
      <c r="F230" s="120"/>
    </row>
    <row r="231" spans="2:6" ht="15">
      <c r="B231" s="100"/>
      <c r="C231" s="100"/>
      <c r="D231" s="1"/>
      <c r="E231" s="120"/>
      <c r="F231" s="120"/>
    </row>
    <row r="232" spans="2:6" ht="15">
      <c r="B232" s="100"/>
      <c r="C232" s="100"/>
      <c r="D232" s="1"/>
      <c r="E232" s="120"/>
      <c r="F232" s="120"/>
    </row>
    <row r="233" spans="2:6" ht="15">
      <c r="B233" s="100"/>
      <c r="C233" s="100"/>
      <c r="D233" s="1"/>
      <c r="E233" s="120"/>
      <c r="F233" s="120"/>
    </row>
    <row r="234" spans="2:6" ht="15">
      <c r="B234" s="100"/>
      <c r="C234" s="100"/>
      <c r="D234" s="1"/>
      <c r="E234" s="120"/>
      <c r="F234" s="120"/>
    </row>
    <row r="235" spans="2:6" ht="15">
      <c r="B235" s="100"/>
      <c r="C235" s="100"/>
      <c r="D235" s="1"/>
      <c r="E235" s="120"/>
      <c r="F235" s="120"/>
    </row>
    <row r="236" spans="2:6" ht="15">
      <c r="B236" s="100"/>
      <c r="C236" s="100"/>
      <c r="D236" s="1"/>
      <c r="E236" s="120"/>
      <c r="F236" s="120"/>
    </row>
    <row r="237" spans="2:6" ht="15">
      <c r="B237" s="100"/>
      <c r="C237" s="100"/>
      <c r="D237" s="1"/>
      <c r="E237" s="120"/>
      <c r="F237" s="120"/>
    </row>
    <row r="238" spans="2:6" ht="15">
      <c r="B238" s="100"/>
      <c r="C238" s="100"/>
      <c r="D238" s="1"/>
      <c r="E238" s="120"/>
      <c r="F238" s="120"/>
    </row>
    <row r="239" spans="2:6" ht="15">
      <c r="B239" s="100"/>
      <c r="C239" s="100"/>
      <c r="D239" s="1"/>
      <c r="E239" s="120"/>
      <c r="F239" s="120"/>
    </row>
    <row r="240" spans="2:6" ht="15">
      <c r="B240" s="100"/>
      <c r="C240" s="100"/>
      <c r="D240" s="1"/>
      <c r="E240" s="120"/>
      <c r="F240" s="120"/>
    </row>
    <row r="241" spans="2:6" ht="15">
      <c r="B241" s="100"/>
      <c r="C241" s="100"/>
      <c r="D241" s="1"/>
      <c r="E241" s="120"/>
      <c r="F241" s="120"/>
    </row>
    <row r="242" spans="2:6" ht="15">
      <c r="B242" s="100"/>
      <c r="C242" s="100"/>
      <c r="D242" s="1"/>
      <c r="E242" s="120"/>
      <c r="F242" s="120"/>
    </row>
    <row r="243" spans="2:6" ht="15">
      <c r="B243" s="100"/>
      <c r="C243" s="100"/>
      <c r="D243" s="1"/>
      <c r="E243" s="120"/>
      <c r="F243" s="120"/>
    </row>
    <row r="244" spans="2:6" ht="15">
      <c r="B244" s="100"/>
      <c r="C244" s="100"/>
      <c r="D244" s="1"/>
      <c r="E244" s="120"/>
      <c r="F244" s="120"/>
    </row>
    <row r="245" spans="2:6" ht="15">
      <c r="B245" s="100"/>
      <c r="C245" s="100"/>
      <c r="D245" s="1"/>
      <c r="E245" s="120"/>
      <c r="F245" s="120"/>
    </row>
    <row r="246" spans="2:6" ht="15">
      <c r="B246" s="100"/>
      <c r="C246" s="100"/>
      <c r="D246" s="1"/>
      <c r="E246" s="120"/>
      <c r="F246" s="120"/>
    </row>
    <row r="247" spans="2:6" ht="15">
      <c r="B247" s="100"/>
      <c r="C247" s="100"/>
      <c r="D247" s="1"/>
      <c r="E247" s="120"/>
      <c r="F247" s="120"/>
    </row>
    <row r="248" spans="2:6" ht="15">
      <c r="B248" s="100"/>
      <c r="C248" s="100"/>
      <c r="D248" s="1"/>
      <c r="E248" s="120"/>
      <c r="F248" s="120"/>
    </row>
    <row r="249" spans="2:6" ht="15">
      <c r="B249" s="100"/>
      <c r="C249" s="100"/>
      <c r="D249" s="1"/>
      <c r="E249" s="120"/>
      <c r="F249" s="120"/>
    </row>
    <row r="250" spans="2:6" ht="15">
      <c r="B250" s="100"/>
      <c r="C250" s="100"/>
      <c r="D250" s="1"/>
      <c r="E250" s="120"/>
      <c r="F250" s="120"/>
    </row>
    <row r="251" spans="2:6" ht="15">
      <c r="B251" s="100"/>
      <c r="C251" s="100"/>
      <c r="D251" s="1"/>
      <c r="E251" s="120"/>
      <c r="F251" s="120"/>
    </row>
    <row r="252" spans="2:6" ht="15">
      <c r="B252" s="100"/>
      <c r="C252" s="100"/>
      <c r="D252" s="1"/>
      <c r="E252" s="120"/>
      <c r="F252" s="120"/>
    </row>
    <row r="253" spans="2:6" ht="15">
      <c r="B253" s="100"/>
      <c r="C253" s="100"/>
      <c r="D253" s="1"/>
      <c r="E253" s="120"/>
      <c r="F253" s="120"/>
    </row>
    <row r="254" spans="2:6" ht="15">
      <c r="B254" s="100"/>
      <c r="C254" s="100"/>
      <c r="D254" s="1"/>
      <c r="E254" s="120"/>
      <c r="F254" s="120"/>
    </row>
    <row r="255" spans="2:6" ht="15">
      <c r="B255" s="100"/>
      <c r="C255" s="100"/>
      <c r="D255" s="1"/>
      <c r="E255" s="120"/>
      <c r="F255" s="120"/>
    </row>
    <row r="256" spans="2:6" ht="15">
      <c r="B256" s="100"/>
      <c r="C256" s="100"/>
      <c r="D256" s="1"/>
      <c r="E256" s="120"/>
      <c r="F256" s="120"/>
    </row>
    <row r="257" spans="2:6" ht="15">
      <c r="B257" s="100"/>
      <c r="C257" s="100"/>
      <c r="D257" s="1"/>
      <c r="E257" s="120"/>
      <c r="F257" s="120"/>
    </row>
    <row r="258" spans="2:6" ht="15">
      <c r="B258" s="100"/>
      <c r="C258" s="100"/>
      <c r="D258" s="1"/>
      <c r="E258" s="120"/>
      <c r="F258" s="120"/>
    </row>
    <row r="259" spans="2:6" ht="15">
      <c r="B259" s="100"/>
      <c r="C259" s="100"/>
      <c r="D259" s="1"/>
      <c r="E259" s="120"/>
      <c r="F259" s="120"/>
    </row>
    <row r="260" spans="2:6" ht="15">
      <c r="B260" s="100"/>
      <c r="C260" s="100"/>
      <c r="D260" s="1"/>
      <c r="E260" s="120"/>
      <c r="F260" s="120"/>
    </row>
    <row r="261" spans="2:6" ht="15">
      <c r="B261" s="100"/>
      <c r="C261" s="100"/>
      <c r="D261" s="1"/>
      <c r="E261" s="120"/>
      <c r="F261" s="120"/>
    </row>
    <row r="262" spans="2:6" ht="15">
      <c r="B262" s="100"/>
      <c r="C262" s="100"/>
      <c r="D262" s="1"/>
      <c r="E262" s="120"/>
      <c r="F262" s="120"/>
    </row>
    <row r="263" spans="2:6" ht="15">
      <c r="B263" s="100"/>
      <c r="C263" s="100"/>
      <c r="D263" s="1"/>
      <c r="E263" s="120"/>
      <c r="F263" s="120"/>
    </row>
    <row r="264" spans="2:6" ht="15">
      <c r="B264" s="100"/>
      <c r="C264" s="100"/>
      <c r="D264" s="1"/>
      <c r="E264" s="120"/>
      <c r="F264" s="120"/>
    </row>
    <row r="265" spans="2:6" ht="15">
      <c r="B265" s="100"/>
      <c r="C265" s="100"/>
      <c r="D265" s="1"/>
      <c r="E265" s="120"/>
      <c r="F265" s="120"/>
    </row>
    <row r="266" spans="2:6" ht="15">
      <c r="B266" s="100"/>
      <c r="C266" s="100"/>
      <c r="D266" s="1"/>
      <c r="E266" s="120"/>
      <c r="F266" s="120"/>
    </row>
    <row r="267" spans="2:6" ht="15">
      <c r="B267" s="100"/>
      <c r="C267" s="100"/>
      <c r="D267" s="1"/>
      <c r="E267" s="120"/>
      <c r="F267" s="120"/>
    </row>
    <row r="268" spans="2:6" ht="15">
      <c r="B268" s="100"/>
      <c r="C268" s="100"/>
      <c r="D268" s="1"/>
      <c r="E268" s="120"/>
      <c r="F268" s="120"/>
    </row>
    <row r="269" spans="2:6" ht="15">
      <c r="B269" s="100"/>
      <c r="C269" s="100"/>
      <c r="D269" s="1"/>
      <c r="E269" s="120"/>
      <c r="F269" s="120"/>
    </row>
    <row r="270" spans="2:6" ht="15">
      <c r="B270" s="100"/>
      <c r="C270" s="100"/>
      <c r="D270" s="1"/>
      <c r="E270" s="120"/>
      <c r="F270" s="120"/>
    </row>
    <row r="271" spans="2:6" ht="15">
      <c r="B271" s="100"/>
      <c r="C271" s="100"/>
      <c r="D271" s="1"/>
      <c r="E271" s="120"/>
      <c r="F271" s="120"/>
    </row>
    <row r="272" spans="2:6" ht="15">
      <c r="B272" s="100"/>
      <c r="C272" s="100"/>
      <c r="D272" s="1"/>
      <c r="E272" s="120"/>
      <c r="F272" s="120"/>
    </row>
    <row r="273" spans="2:6" ht="15">
      <c r="B273" s="100"/>
      <c r="C273" s="100"/>
      <c r="D273" s="1"/>
      <c r="E273" s="120"/>
      <c r="F273" s="120"/>
    </row>
    <row r="274" spans="2:6" ht="15">
      <c r="B274" s="100"/>
      <c r="C274" s="100"/>
      <c r="D274" s="1"/>
      <c r="E274" s="120"/>
      <c r="F274" s="120"/>
    </row>
    <row r="275" spans="2:6" ht="15">
      <c r="B275" s="100"/>
      <c r="C275" s="100"/>
      <c r="D275" s="1"/>
      <c r="E275" s="120"/>
      <c r="F275" s="120"/>
    </row>
    <row r="276" spans="2:6" ht="15">
      <c r="B276" s="100"/>
      <c r="C276" s="100"/>
      <c r="D276" s="1"/>
      <c r="E276" s="120"/>
      <c r="F276" s="120"/>
    </row>
    <row r="277" spans="2:6" ht="15">
      <c r="B277" s="100"/>
      <c r="C277" s="100"/>
      <c r="D277" s="1"/>
      <c r="E277" s="120"/>
      <c r="F277" s="120"/>
    </row>
    <row r="278" spans="2:6" ht="15">
      <c r="B278" s="100"/>
      <c r="C278" s="100"/>
      <c r="D278" s="1"/>
      <c r="E278" s="120"/>
      <c r="F278" s="120"/>
    </row>
    <row r="279" spans="2:6" ht="15">
      <c r="B279" s="100"/>
      <c r="C279" s="100"/>
      <c r="D279" s="1"/>
      <c r="E279" s="120"/>
      <c r="F279" s="120"/>
    </row>
    <row r="280" spans="2:6" ht="15">
      <c r="B280" s="100"/>
      <c r="C280" s="100"/>
      <c r="D280" s="1"/>
      <c r="E280" s="120"/>
      <c r="F280" s="120"/>
    </row>
    <row r="281" spans="2:6" ht="15">
      <c r="B281" s="100"/>
      <c r="C281" s="100"/>
      <c r="D281" s="1"/>
      <c r="E281" s="120"/>
      <c r="F281" s="120"/>
    </row>
    <row r="282" spans="2:6" ht="15">
      <c r="B282" s="100"/>
      <c r="C282" s="100"/>
      <c r="D282" s="1"/>
      <c r="E282" s="120"/>
      <c r="F282" s="120"/>
    </row>
    <row r="283" spans="2:6" ht="15">
      <c r="B283" s="100"/>
      <c r="C283" s="100"/>
      <c r="D283" s="1"/>
      <c r="E283" s="120"/>
      <c r="F283" s="120"/>
    </row>
    <row r="284" spans="2:6" ht="15">
      <c r="B284" s="100"/>
      <c r="C284" s="100"/>
      <c r="D284" s="1"/>
      <c r="E284" s="120"/>
      <c r="F284" s="120"/>
    </row>
    <row r="285" spans="2:6" ht="15">
      <c r="B285" s="100"/>
      <c r="C285" s="100"/>
      <c r="D285" s="1"/>
      <c r="E285" s="120"/>
      <c r="F285" s="120"/>
    </row>
    <row r="286" spans="2:6" ht="15">
      <c r="B286" s="100"/>
      <c r="C286" s="100"/>
      <c r="D286" s="1"/>
      <c r="E286" s="120"/>
      <c r="F286" s="120"/>
    </row>
    <row r="287" spans="2:6" ht="15">
      <c r="B287" s="100"/>
      <c r="C287" s="100"/>
      <c r="D287" s="1"/>
      <c r="E287" s="120"/>
      <c r="F287" s="120"/>
    </row>
    <row r="288" spans="2:6" ht="15">
      <c r="B288" s="100"/>
      <c r="C288" s="100"/>
      <c r="D288" s="1"/>
      <c r="E288" s="120"/>
      <c r="F288" s="120"/>
    </row>
    <row r="289" spans="2:6" ht="15">
      <c r="B289" s="100"/>
      <c r="C289" s="100"/>
      <c r="D289" s="1"/>
      <c r="E289" s="120"/>
      <c r="F289" s="120"/>
    </row>
    <row r="290" spans="2:6" ht="15">
      <c r="B290" s="100"/>
      <c r="C290" s="100"/>
      <c r="D290" s="1"/>
      <c r="E290" s="120"/>
      <c r="F290" s="120"/>
    </row>
    <row r="291" spans="2:6" ht="15">
      <c r="B291" s="100"/>
      <c r="C291" s="100"/>
      <c r="D291" s="1"/>
      <c r="E291" s="120"/>
      <c r="F291" s="120"/>
    </row>
    <row r="292" spans="2:6" ht="15">
      <c r="B292" s="100"/>
      <c r="C292" s="100"/>
      <c r="D292" s="1"/>
      <c r="E292" s="120"/>
      <c r="F292" s="120"/>
    </row>
    <row r="293" spans="2:6" ht="15">
      <c r="B293" s="100"/>
      <c r="C293" s="100"/>
      <c r="D293" s="1"/>
      <c r="E293" s="120"/>
      <c r="F293" s="120"/>
    </row>
    <row r="294" spans="2:6" ht="15">
      <c r="B294" s="100"/>
      <c r="C294" s="100"/>
      <c r="D294" s="1"/>
      <c r="E294" s="120"/>
      <c r="F294" s="120"/>
    </row>
    <row r="295" spans="2:6" ht="15">
      <c r="B295" s="100"/>
      <c r="C295" s="100"/>
      <c r="D295" s="1"/>
      <c r="E295" s="120"/>
      <c r="F295" s="120"/>
    </row>
    <row r="296" spans="2:6" ht="15">
      <c r="B296" s="100"/>
      <c r="C296" s="100"/>
      <c r="D296" s="1"/>
      <c r="E296" s="120"/>
      <c r="F296" s="120"/>
    </row>
    <row r="297" spans="2:6" ht="15">
      <c r="B297" s="100"/>
      <c r="C297" s="100"/>
      <c r="D297" s="1"/>
      <c r="E297" s="120"/>
      <c r="F297" s="120"/>
    </row>
    <row r="298" spans="2:6" ht="15">
      <c r="B298" s="100"/>
      <c r="C298" s="100"/>
      <c r="D298" s="1"/>
      <c r="E298" s="120"/>
      <c r="F298" s="120"/>
    </row>
    <row r="299" spans="2:6" ht="15">
      <c r="B299" s="100"/>
      <c r="C299" s="100"/>
      <c r="D299" s="1"/>
      <c r="E299" s="120"/>
      <c r="F299" s="120"/>
    </row>
    <row r="300" spans="2:6" ht="15">
      <c r="B300" s="100"/>
      <c r="C300" s="100"/>
      <c r="D300" s="1"/>
      <c r="E300" s="120"/>
      <c r="F300" s="120"/>
    </row>
    <row r="301" spans="2:6" ht="15">
      <c r="B301" s="100"/>
      <c r="C301" s="100"/>
      <c r="D301" s="1"/>
      <c r="E301" s="120"/>
      <c r="F301" s="120"/>
    </row>
    <row r="302" spans="2:6" ht="15">
      <c r="B302" s="100"/>
      <c r="C302" s="100"/>
      <c r="D302" s="1"/>
      <c r="E302" s="120"/>
      <c r="F302" s="120"/>
    </row>
    <row r="303" spans="2:6" ht="15">
      <c r="B303" s="100"/>
      <c r="C303" s="100"/>
      <c r="D303" s="1"/>
      <c r="E303" s="120"/>
      <c r="F303" s="120"/>
    </row>
    <row r="304" spans="2:6" ht="15">
      <c r="B304" s="100"/>
      <c r="C304" s="100"/>
      <c r="D304" s="1"/>
      <c r="E304" s="120"/>
      <c r="F304" s="120"/>
    </row>
    <row r="305" spans="2:6" ht="15">
      <c r="B305" s="100"/>
      <c r="C305" s="100"/>
      <c r="D305" s="1"/>
      <c r="E305" s="120"/>
      <c r="F305" s="120"/>
    </row>
    <row r="306" spans="2:6" ht="15">
      <c r="B306" s="100"/>
      <c r="C306" s="100"/>
      <c r="D306" s="1"/>
      <c r="E306" s="120"/>
      <c r="F306" s="120"/>
    </row>
    <row r="307" spans="2:6" ht="15">
      <c r="B307" s="100"/>
      <c r="C307" s="100"/>
      <c r="D307" s="1"/>
      <c r="E307" s="120"/>
      <c r="F307" s="120"/>
    </row>
    <row r="308" spans="2:6" ht="15">
      <c r="B308" s="100"/>
      <c r="C308" s="100"/>
      <c r="D308" s="1"/>
      <c r="E308" s="120"/>
      <c r="F308" s="120"/>
    </row>
    <row r="309" spans="2:6" ht="15">
      <c r="B309" s="100"/>
      <c r="C309" s="100"/>
      <c r="D309" s="1"/>
      <c r="E309" s="120"/>
      <c r="F309" s="120"/>
    </row>
    <row r="310" spans="2:6" ht="15">
      <c r="B310" s="100"/>
      <c r="C310" s="100"/>
      <c r="D310" s="1"/>
      <c r="E310" s="120"/>
      <c r="F310" s="120"/>
    </row>
    <row r="311" spans="2:6" ht="15">
      <c r="B311" s="100"/>
      <c r="C311" s="100"/>
      <c r="D311" s="1"/>
      <c r="E311" s="120"/>
      <c r="F311" s="120"/>
    </row>
    <row r="312" spans="2:6" ht="15">
      <c r="B312" s="100"/>
      <c r="C312" s="100"/>
      <c r="D312" s="1"/>
      <c r="E312" s="120"/>
      <c r="F312" s="120"/>
    </row>
    <row r="313" spans="2:6" ht="15">
      <c r="B313" s="100"/>
      <c r="C313" s="100"/>
      <c r="D313" s="1"/>
      <c r="E313" s="120"/>
      <c r="F313" s="120"/>
    </row>
    <row r="314" spans="2:6" ht="15">
      <c r="B314" s="100"/>
      <c r="C314" s="100"/>
      <c r="D314" s="1"/>
      <c r="E314" s="120"/>
      <c r="F314" s="120"/>
    </row>
    <row r="315" spans="2:6" ht="15">
      <c r="B315" s="100"/>
      <c r="C315" s="100"/>
      <c r="D315" s="1"/>
      <c r="E315" s="120"/>
      <c r="F315" s="120"/>
    </row>
    <row r="316" spans="2:6" ht="15">
      <c r="B316" s="100"/>
      <c r="C316" s="100"/>
      <c r="D316" s="1"/>
      <c r="E316" s="120"/>
      <c r="F316" s="120"/>
    </row>
    <row r="317" spans="2:6" ht="15">
      <c r="B317" s="100"/>
      <c r="C317" s="100"/>
      <c r="D317" s="1"/>
      <c r="E317" s="120"/>
      <c r="F317" s="120"/>
    </row>
    <row r="318" spans="2:6" ht="15">
      <c r="B318" s="100"/>
      <c r="C318" s="100"/>
      <c r="D318" s="1"/>
      <c r="E318" s="37"/>
      <c r="F318" s="37"/>
    </row>
    <row r="319" spans="2:6" ht="15">
      <c r="B319" s="100"/>
      <c r="C319" s="100"/>
      <c r="D319" s="1"/>
      <c r="E319" s="37"/>
      <c r="F319" s="37"/>
    </row>
    <row r="320" spans="2:6" ht="15">
      <c r="B320" s="118"/>
      <c r="C320" s="118"/>
      <c r="D320" s="1"/>
      <c r="E320" s="37"/>
      <c r="F320" s="37"/>
    </row>
    <row r="321" spans="2:6" ht="15">
      <c r="B321" s="118"/>
      <c r="C321" s="118"/>
      <c r="D321" s="1"/>
      <c r="E321" s="37"/>
      <c r="F321" s="37"/>
    </row>
    <row r="322" spans="2:6" ht="15">
      <c r="B322" s="118"/>
      <c r="C322" s="118"/>
      <c r="D322" s="1"/>
      <c r="E322" s="37"/>
      <c r="F322" s="37"/>
    </row>
    <row r="323" spans="2:6" ht="15">
      <c r="B323" s="118"/>
      <c r="C323" s="118"/>
      <c r="D323" s="1"/>
      <c r="E323" s="37"/>
      <c r="F323" s="37"/>
    </row>
    <row r="324" spans="2:9" s="38" customFormat="1" ht="15">
      <c r="B324" s="101"/>
      <c r="C324" s="101"/>
      <c r="D324" s="51"/>
      <c r="E324" s="37"/>
      <c r="F324" s="37"/>
      <c r="G324" s="37"/>
      <c r="H324" s="37"/>
      <c r="I324" s="37"/>
    </row>
    <row r="325" spans="2:9" s="38" customFormat="1" ht="15">
      <c r="B325" s="101"/>
      <c r="C325" s="101"/>
      <c r="D325" s="51"/>
      <c r="E325" s="37"/>
      <c r="F325" s="37"/>
      <c r="G325" s="37"/>
      <c r="H325" s="37"/>
      <c r="I325" s="37"/>
    </row>
    <row r="326" spans="2:9" s="38" customFormat="1" ht="15">
      <c r="B326" s="101"/>
      <c r="C326" s="101"/>
      <c r="D326" s="51"/>
      <c r="E326" s="37"/>
      <c r="F326" s="37"/>
      <c r="G326" s="37"/>
      <c r="H326" s="37"/>
      <c r="I326" s="37"/>
    </row>
    <row r="327" spans="2:9" s="38" customFormat="1" ht="15">
      <c r="B327" s="101"/>
      <c r="C327" s="101"/>
      <c r="D327" s="51"/>
      <c r="E327" s="37"/>
      <c r="F327" s="37"/>
      <c r="G327" s="37"/>
      <c r="H327" s="37"/>
      <c r="I327" s="37"/>
    </row>
    <row r="328" spans="2:9" s="38" customFormat="1" ht="15">
      <c r="B328" s="101"/>
      <c r="C328" s="101"/>
      <c r="D328" s="51"/>
      <c r="E328" s="37"/>
      <c r="F328" s="37"/>
      <c r="G328" s="37"/>
      <c r="H328" s="37"/>
      <c r="I328" s="37"/>
    </row>
    <row r="329" spans="2:9" s="38" customFormat="1" ht="15">
      <c r="B329" s="101"/>
      <c r="C329" s="101"/>
      <c r="D329" s="51"/>
      <c r="E329" s="37"/>
      <c r="F329" s="37"/>
      <c r="G329" s="37"/>
      <c r="H329" s="37"/>
      <c r="I329" s="37"/>
    </row>
    <row r="330" spans="2:9" s="38" customFormat="1" ht="15">
      <c r="B330" s="101"/>
      <c r="C330" s="101"/>
      <c r="D330" s="51"/>
      <c r="E330" s="37"/>
      <c r="F330" s="37"/>
      <c r="G330" s="37"/>
      <c r="H330" s="37"/>
      <c r="I330" s="37"/>
    </row>
    <row r="331" spans="2:9" s="38" customFormat="1" ht="15">
      <c r="B331" s="101"/>
      <c r="C331" s="101"/>
      <c r="D331" s="51"/>
      <c r="E331" s="37"/>
      <c r="F331" s="37"/>
      <c r="G331" s="37"/>
      <c r="H331" s="37"/>
      <c r="I331" s="37"/>
    </row>
    <row r="332" spans="2:9" s="38" customFormat="1" ht="15">
      <c r="B332" s="101"/>
      <c r="C332" s="101"/>
      <c r="D332" s="51"/>
      <c r="E332" s="37"/>
      <c r="F332" s="37"/>
      <c r="G332" s="37"/>
      <c r="H332" s="37"/>
      <c r="I332" s="37"/>
    </row>
    <row r="333" spans="2:9" s="38" customFormat="1" ht="15">
      <c r="B333" s="101"/>
      <c r="C333" s="101"/>
      <c r="D333" s="51"/>
      <c r="E333" s="37"/>
      <c r="F333" s="37"/>
      <c r="G333" s="37"/>
      <c r="H333" s="37"/>
      <c r="I333" s="37"/>
    </row>
    <row r="334" spans="2:9" s="38" customFormat="1" ht="15">
      <c r="B334" s="101"/>
      <c r="C334" s="101"/>
      <c r="D334" s="51"/>
      <c r="E334" s="37"/>
      <c r="F334" s="37"/>
      <c r="G334" s="37"/>
      <c r="H334" s="37"/>
      <c r="I334" s="37"/>
    </row>
    <row r="335" spans="2:9" s="38" customFormat="1" ht="15">
      <c r="B335" s="101"/>
      <c r="C335" s="101"/>
      <c r="D335" s="51"/>
      <c r="E335" s="37"/>
      <c r="F335" s="37"/>
      <c r="G335" s="37"/>
      <c r="H335" s="37"/>
      <c r="I335" s="37"/>
    </row>
    <row r="336" spans="2:9" s="38" customFormat="1" ht="15">
      <c r="B336" s="101"/>
      <c r="C336" s="101"/>
      <c r="D336" s="51"/>
      <c r="E336" s="37"/>
      <c r="F336" s="37"/>
      <c r="G336" s="37"/>
      <c r="H336" s="37"/>
      <c r="I336" s="37"/>
    </row>
    <row r="337" spans="2:9" s="38" customFormat="1" ht="15">
      <c r="B337" s="101"/>
      <c r="C337" s="101"/>
      <c r="D337" s="51"/>
      <c r="E337" s="37"/>
      <c r="F337" s="37"/>
      <c r="G337" s="37"/>
      <c r="H337" s="37"/>
      <c r="I337" s="37"/>
    </row>
    <row r="338" spans="2:9" s="38" customFormat="1" ht="15">
      <c r="B338" s="101"/>
      <c r="C338" s="101"/>
      <c r="D338" s="51"/>
      <c r="E338" s="37"/>
      <c r="F338" s="37"/>
      <c r="G338" s="37"/>
      <c r="H338" s="37"/>
      <c r="I338" s="37"/>
    </row>
    <row r="339" spans="2:9" s="38" customFormat="1" ht="15">
      <c r="B339" s="101"/>
      <c r="C339" s="101"/>
      <c r="D339" s="51"/>
      <c r="E339" s="37"/>
      <c r="F339" s="37"/>
      <c r="G339" s="37"/>
      <c r="H339" s="37"/>
      <c r="I339" s="37"/>
    </row>
    <row r="340" spans="2:9" s="38" customFormat="1" ht="15">
      <c r="B340" s="101"/>
      <c r="C340" s="101"/>
      <c r="D340" s="51"/>
      <c r="E340" s="37"/>
      <c r="F340" s="37"/>
      <c r="G340" s="37"/>
      <c r="H340" s="37"/>
      <c r="I340" s="37"/>
    </row>
    <row r="341" spans="2:9" s="38" customFormat="1" ht="15">
      <c r="B341" s="51"/>
      <c r="C341" s="51"/>
      <c r="D341" s="51"/>
      <c r="E341" s="37"/>
      <c r="F341" s="37"/>
      <c r="G341" s="37"/>
      <c r="H341" s="37"/>
      <c r="I341" s="37"/>
    </row>
    <row r="342" spans="2:9" s="38" customFormat="1" ht="15">
      <c r="B342" s="51"/>
      <c r="C342" s="51"/>
      <c r="D342" s="51"/>
      <c r="E342" s="37"/>
      <c r="F342" s="37"/>
      <c r="G342" s="37"/>
      <c r="H342" s="37"/>
      <c r="I342" s="37"/>
    </row>
    <row r="343" spans="2:9" s="38" customFormat="1" ht="15">
      <c r="B343" s="51"/>
      <c r="C343" s="51"/>
      <c r="D343" s="51"/>
      <c r="E343" s="37"/>
      <c r="F343" s="37"/>
      <c r="G343" s="37"/>
      <c r="H343" s="37"/>
      <c r="I343" s="37"/>
    </row>
    <row r="344" spans="2:9" s="38" customFormat="1" ht="15">
      <c r="B344" s="51"/>
      <c r="C344" s="51"/>
      <c r="D344" s="51"/>
      <c r="E344" s="37"/>
      <c r="F344" s="37"/>
      <c r="G344" s="37"/>
      <c r="H344" s="37"/>
      <c r="I344" s="37"/>
    </row>
    <row r="345" spans="2:9" s="38" customFormat="1" ht="15">
      <c r="B345" s="51"/>
      <c r="C345" s="51"/>
      <c r="D345" s="51"/>
      <c r="E345" s="37"/>
      <c r="F345" s="37"/>
      <c r="G345" s="37"/>
      <c r="H345" s="37"/>
      <c r="I345" s="37"/>
    </row>
    <row r="346" spans="2:9" s="38" customFormat="1" ht="15">
      <c r="B346" s="51"/>
      <c r="C346" s="51"/>
      <c r="D346" s="51"/>
      <c r="E346" s="37"/>
      <c r="F346" s="37"/>
      <c r="G346" s="37"/>
      <c r="H346" s="37"/>
      <c r="I346" s="37"/>
    </row>
    <row r="347" spans="2:9" s="38" customFormat="1" ht="15">
      <c r="B347" s="51"/>
      <c r="C347" s="51"/>
      <c r="D347" s="51"/>
      <c r="E347" s="37"/>
      <c r="F347" s="37"/>
      <c r="G347" s="37"/>
      <c r="H347" s="37"/>
      <c r="I347" s="37"/>
    </row>
    <row r="348" spans="2:9" s="38" customFormat="1" ht="15">
      <c r="B348" s="51"/>
      <c r="C348" s="51"/>
      <c r="D348" s="51"/>
      <c r="E348" s="37"/>
      <c r="F348" s="37"/>
      <c r="G348" s="37"/>
      <c r="H348" s="37"/>
      <c r="I348" s="37"/>
    </row>
    <row r="349" spans="2:9" s="38" customFormat="1" ht="15">
      <c r="B349" s="51"/>
      <c r="C349" s="51"/>
      <c r="D349" s="51"/>
      <c r="E349" s="37"/>
      <c r="F349" s="37"/>
      <c r="G349" s="37"/>
      <c r="H349" s="37"/>
      <c r="I349" s="37"/>
    </row>
    <row r="350" spans="2:9" s="38" customFormat="1" ht="15">
      <c r="B350" s="51"/>
      <c r="C350" s="51"/>
      <c r="D350" s="51"/>
      <c r="E350" s="37"/>
      <c r="F350" s="37"/>
      <c r="G350" s="37"/>
      <c r="H350" s="37"/>
      <c r="I350" s="37"/>
    </row>
    <row r="351" spans="2:9" s="38" customFormat="1" ht="15">
      <c r="B351" s="51"/>
      <c r="C351" s="51"/>
      <c r="D351" s="51"/>
      <c r="E351" s="37"/>
      <c r="F351" s="37"/>
      <c r="G351" s="37"/>
      <c r="H351" s="37"/>
      <c r="I351" s="37"/>
    </row>
    <row r="352" spans="2:9" s="38" customFormat="1" ht="15">
      <c r="B352" s="51"/>
      <c r="C352" s="51"/>
      <c r="D352" s="51"/>
      <c r="E352" s="37"/>
      <c r="F352" s="37"/>
      <c r="G352" s="37"/>
      <c r="H352" s="37"/>
      <c r="I352" s="37"/>
    </row>
    <row r="353" spans="2:9" s="38" customFormat="1" ht="15">
      <c r="B353" s="51"/>
      <c r="C353" s="51"/>
      <c r="D353" s="51"/>
      <c r="E353" s="37"/>
      <c r="F353" s="37"/>
      <c r="G353" s="37"/>
      <c r="H353" s="37"/>
      <c r="I353" s="37"/>
    </row>
    <row r="354" spans="2:9" s="38" customFormat="1" ht="15">
      <c r="B354" s="51"/>
      <c r="C354" s="51"/>
      <c r="D354" s="51"/>
      <c r="E354" s="37"/>
      <c r="F354" s="37"/>
      <c r="G354" s="37"/>
      <c r="H354" s="37"/>
      <c r="I354" s="37"/>
    </row>
    <row r="355" spans="5:9" s="38" customFormat="1" ht="15">
      <c r="E355" s="37"/>
      <c r="F355" s="37"/>
      <c r="G355" s="37"/>
      <c r="H355" s="37"/>
      <c r="I355" s="37"/>
    </row>
    <row r="356" spans="5:9" s="38" customFormat="1" ht="15">
      <c r="E356" s="37"/>
      <c r="F356" s="37"/>
      <c r="G356" s="37"/>
      <c r="H356" s="37"/>
      <c r="I356" s="37"/>
    </row>
    <row r="357" spans="5:9" s="38" customFormat="1" ht="15">
      <c r="E357" s="37"/>
      <c r="F357" s="37"/>
      <c r="G357" s="37"/>
      <c r="H357" s="37"/>
      <c r="I357" s="37"/>
    </row>
    <row r="358" spans="5:9" s="38" customFormat="1" ht="15">
      <c r="E358" s="37"/>
      <c r="F358" s="37"/>
      <c r="G358" s="37"/>
      <c r="H358" s="37"/>
      <c r="I358" s="37"/>
    </row>
    <row r="359" spans="5:9" s="38" customFormat="1" ht="15">
      <c r="E359" s="37"/>
      <c r="F359" s="37"/>
      <c r="G359" s="37"/>
      <c r="H359" s="37"/>
      <c r="I359" s="37"/>
    </row>
    <row r="360" spans="5:9" s="38" customFormat="1" ht="15">
      <c r="E360" s="37"/>
      <c r="F360" s="37"/>
      <c r="G360" s="37"/>
      <c r="H360" s="37"/>
      <c r="I360" s="37"/>
    </row>
    <row r="361" spans="5:9" s="38" customFormat="1" ht="15">
      <c r="E361" s="37"/>
      <c r="F361" s="37"/>
      <c r="G361" s="37"/>
      <c r="H361" s="37"/>
      <c r="I361" s="37"/>
    </row>
    <row r="362" spans="5:9" s="38" customFormat="1" ht="15">
      <c r="E362" s="37"/>
      <c r="F362" s="37"/>
      <c r="G362" s="37"/>
      <c r="H362" s="37"/>
      <c r="I362" s="37"/>
    </row>
    <row r="363" spans="5:9" s="38" customFormat="1" ht="15">
      <c r="E363" s="37"/>
      <c r="F363" s="37"/>
      <c r="G363" s="37"/>
      <c r="H363" s="37"/>
      <c r="I363" s="37"/>
    </row>
    <row r="364" spans="5:9" s="38" customFormat="1" ht="15">
      <c r="E364" s="37"/>
      <c r="F364" s="37"/>
      <c r="G364" s="37"/>
      <c r="H364" s="37"/>
      <c r="I364" s="37"/>
    </row>
    <row r="365" spans="5:9" s="38" customFormat="1" ht="15">
      <c r="E365" s="37"/>
      <c r="F365" s="37"/>
      <c r="G365" s="37"/>
      <c r="H365" s="37"/>
      <c r="I365" s="37"/>
    </row>
    <row r="366" spans="5:9" s="38" customFormat="1" ht="15">
      <c r="E366" s="37"/>
      <c r="F366" s="37"/>
      <c r="G366" s="37"/>
      <c r="H366" s="37"/>
      <c r="I366" s="37"/>
    </row>
    <row r="367" spans="5:9" s="38" customFormat="1" ht="15">
      <c r="E367" s="37"/>
      <c r="F367" s="37"/>
      <c r="G367" s="37"/>
      <c r="H367" s="37"/>
      <c r="I367" s="37"/>
    </row>
    <row r="368" spans="5:9" s="38" customFormat="1" ht="15">
      <c r="E368" s="37"/>
      <c r="F368" s="37"/>
      <c r="G368" s="37"/>
      <c r="H368" s="37"/>
      <c r="I368" s="37"/>
    </row>
    <row r="369" spans="5:9" s="38" customFormat="1" ht="15">
      <c r="E369" s="37"/>
      <c r="F369" s="37"/>
      <c r="G369" s="37"/>
      <c r="H369" s="37"/>
      <c r="I369" s="37"/>
    </row>
    <row r="370" spans="5:9" s="38" customFormat="1" ht="15">
      <c r="E370" s="37"/>
      <c r="F370" s="37"/>
      <c r="G370" s="37"/>
      <c r="H370" s="37"/>
      <c r="I370" s="37"/>
    </row>
    <row r="371" spans="5:9" s="38" customFormat="1" ht="15">
      <c r="E371" s="37"/>
      <c r="F371" s="37"/>
      <c r="G371" s="37"/>
      <c r="H371" s="37"/>
      <c r="I371" s="37"/>
    </row>
    <row r="372" spans="5:9" s="38" customFormat="1" ht="15">
      <c r="E372" s="37"/>
      <c r="F372" s="37"/>
      <c r="G372" s="37"/>
      <c r="H372" s="37"/>
      <c r="I372" s="37"/>
    </row>
    <row r="373" spans="5:9" s="38" customFormat="1" ht="15">
      <c r="E373" s="37"/>
      <c r="F373" s="37"/>
      <c r="G373" s="37"/>
      <c r="H373" s="37"/>
      <c r="I373" s="37"/>
    </row>
    <row r="374" spans="5:9" s="38" customFormat="1" ht="15">
      <c r="E374" s="37"/>
      <c r="F374" s="37"/>
      <c r="G374" s="37"/>
      <c r="H374" s="37"/>
      <c r="I374" s="37"/>
    </row>
    <row r="375" spans="5:9" s="38" customFormat="1" ht="15">
      <c r="E375" s="37"/>
      <c r="F375" s="37"/>
      <c r="G375" s="37"/>
      <c r="H375" s="37"/>
      <c r="I375" s="37"/>
    </row>
    <row r="376" spans="5:9" s="38" customFormat="1" ht="15">
      <c r="E376" s="37"/>
      <c r="F376" s="37"/>
      <c r="G376" s="37"/>
      <c r="H376" s="37"/>
      <c r="I376" s="37"/>
    </row>
    <row r="377" spans="5:9" s="38" customFormat="1" ht="15">
      <c r="E377" s="37"/>
      <c r="F377" s="37"/>
      <c r="G377" s="37"/>
      <c r="H377" s="37"/>
      <c r="I377" s="37"/>
    </row>
    <row r="378" spans="5:9" s="38" customFormat="1" ht="15">
      <c r="E378" s="37"/>
      <c r="F378" s="37"/>
      <c r="G378" s="37"/>
      <c r="H378" s="37"/>
      <c r="I378" s="37"/>
    </row>
    <row r="379" spans="5:9" s="38" customFormat="1" ht="15">
      <c r="E379" s="37"/>
      <c r="F379" s="37"/>
      <c r="G379" s="37"/>
      <c r="H379" s="37"/>
      <c r="I379" s="37"/>
    </row>
    <row r="380" spans="5:9" s="38" customFormat="1" ht="15">
      <c r="E380" s="37"/>
      <c r="F380" s="37"/>
      <c r="G380" s="37"/>
      <c r="H380" s="37"/>
      <c r="I380" s="37"/>
    </row>
    <row r="381" spans="5:9" s="38" customFormat="1" ht="15">
      <c r="E381" s="37"/>
      <c r="F381" s="37"/>
      <c r="G381" s="37"/>
      <c r="H381" s="37"/>
      <c r="I381" s="37"/>
    </row>
    <row r="382" spans="5:9" s="38" customFormat="1" ht="15">
      <c r="E382" s="37"/>
      <c r="F382" s="37"/>
      <c r="G382" s="37"/>
      <c r="H382" s="37"/>
      <c r="I382" s="37"/>
    </row>
    <row r="383" spans="5:9" s="38" customFormat="1" ht="15">
      <c r="E383" s="37"/>
      <c r="F383" s="37"/>
      <c r="G383" s="37"/>
      <c r="H383" s="37"/>
      <c r="I383" s="37"/>
    </row>
    <row r="384" spans="5:9" s="38" customFormat="1" ht="15">
      <c r="E384" s="37"/>
      <c r="F384" s="37"/>
      <c r="G384" s="37"/>
      <c r="H384" s="37"/>
      <c r="I384" s="37"/>
    </row>
    <row r="385" spans="5:9" s="38" customFormat="1" ht="15">
      <c r="E385" s="37"/>
      <c r="F385" s="37"/>
      <c r="G385" s="37"/>
      <c r="H385" s="37"/>
      <c r="I385" s="37"/>
    </row>
    <row r="386" spans="5:9" s="38" customFormat="1" ht="15">
      <c r="E386" s="37"/>
      <c r="F386" s="37"/>
      <c r="G386" s="37"/>
      <c r="H386" s="37"/>
      <c r="I386" s="37"/>
    </row>
    <row r="387" spans="5:9" s="38" customFormat="1" ht="15">
      <c r="E387" s="37"/>
      <c r="F387" s="37"/>
      <c r="G387" s="37"/>
      <c r="H387" s="37"/>
      <c r="I387" s="37"/>
    </row>
    <row r="388" spans="5:9" s="38" customFormat="1" ht="15">
      <c r="E388" s="37"/>
      <c r="F388" s="37"/>
      <c r="G388" s="37"/>
      <c r="H388" s="37"/>
      <c r="I388" s="37"/>
    </row>
    <row r="389" spans="5:9" s="38" customFormat="1" ht="15">
      <c r="E389" s="37"/>
      <c r="F389" s="37"/>
      <c r="G389" s="37"/>
      <c r="H389" s="37"/>
      <c r="I389" s="37"/>
    </row>
    <row r="390" spans="5:9" s="38" customFormat="1" ht="15">
      <c r="E390" s="37"/>
      <c r="F390" s="37"/>
      <c r="G390" s="37"/>
      <c r="H390" s="37"/>
      <c r="I390" s="37"/>
    </row>
    <row r="391" spans="5:9" s="38" customFormat="1" ht="15">
      <c r="E391" s="37"/>
      <c r="F391" s="37"/>
      <c r="G391" s="37"/>
      <c r="H391" s="37"/>
      <c r="I391" s="37"/>
    </row>
    <row r="392" spans="5:9" s="38" customFormat="1" ht="15">
      <c r="E392" s="37"/>
      <c r="F392" s="37"/>
      <c r="G392" s="37"/>
      <c r="H392" s="37"/>
      <c r="I392" s="37"/>
    </row>
    <row r="393" spans="5:9" s="38" customFormat="1" ht="15">
      <c r="E393" s="37"/>
      <c r="F393" s="37"/>
      <c r="G393" s="37"/>
      <c r="H393" s="37"/>
      <c r="I393" s="37"/>
    </row>
    <row r="394" spans="5:9" s="38" customFormat="1" ht="15">
      <c r="E394" s="37"/>
      <c r="F394" s="37"/>
      <c r="G394" s="37"/>
      <c r="H394" s="37"/>
      <c r="I394" s="37"/>
    </row>
    <row r="395" spans="5:9" s="38" customFormat="1" ht="15">
      <c r="E395" s="37"/>
      <c r="F395" s="37"/>
      <c r="G395" s="37"/>
      <c r="H395" s="37"/>
      <c r="I395" s="37"/>
    </row>
    <row r="396" spans="5:9" s="38" customFormat="1" ht="15">
      <c r="E396" s="37"/>
      <c r="F396" s="37"/>
      <c r="G396" s="37"/>
      <c r="H396" s="37"/>
      <c r="I396" s="37"/>
    </row>
    <row r="397" spans="5:9" s="38" customFormat="1" ht="15">
      <c r="E397" s="37"/>
      <c r="F397" s="37"/>
      <c r="G397" s="37"/>
      <c r="H397" s="37"/>
      <c r="I397" s="37"/>
    </row>
    <row r="398" spans="5:9" s="38" customFormat="1" ht="15">
      <c r="E398" s="37"/>
      <c r="F398" s="37"/>
      <c r="G398" s="37"/>
      <c r="H398" s="37"/>
      <c r="I398" s="37"/>
    </row>
    <row r="399" spans="5:9" s="38" customFormat="1" ht="15">
      <c r="E399" s="37"/>
      <c r="F399" s="37"/>
      <c r="G399" s="37"/>
      <c r="H399" s="37"/>
      <c r="I399" s="37"/>
    </row>
    <row r="400" spans="5:9" s="38" customFormat="1" ht="15">
      <c r="E400" s="37"/>
      <c r="F400" s="37"/>
      <c r="G400" s="37"/>
      <c r="H400" s="37"/>
      <c r="I400" s="37"/>
    </row>
    <row r="401" spans="5:9" s="38" customFormat="1" ht="15">
      <c r="E401" s="37"/>
      <c r="F401" s="37"/>
      <c r="G401" s="37"/>
      <c r="H401" s="37"/>
      <c r="I401" s="37"/>
    </row>
    <row r="402" spans="5:9" s="38" customFormat="1" ht="15">
      <c r="E402" s="37"/>
      <c r="F402" s="37"/>
      <c r="G402" s="37"/>
      <c r="H402" s="37"/>
      <c r="I402" s="37"/>
    </row>
    <row r="403" spans="5:9" s="38" customFormat="1" ht="15">
      <c r="E403" s="37"/>
      <c r="F403" s="37"/>
      <c r="G403" s="37"/>
      <c r="H403" s="37"/>
      <c r="I403" s="37"/>
    </row>
    <row r="404" spans="5:9" s="38" customFormat="1" ht="15">
      <c r="E404" s="37"/>
      <c r="F404" s="37"/>
      <c r="G404" s="37"/>
      <c r="H404" s="37"/>
      <c r="I404" s="37"/>
    </row>
    <row r="405" spans="5:9" s="38" customFormat="1" ht="15">
      <c r="E405" s="37"/>
      <c r="F405" s="37"/>
      <c r="G405" s="37"/>
      <c r="H405" s="37"/>
      <c r="I405" s="37"/>
    </row>
    <row r="406" spans="5:9" s="38" customFormat="1" ht="15">
      <c r="E406" s="37"/>
      <c r="F406" s="37"/>
      <c r="G406" s="37"/>
      <c r="H406" s="37"/>
      <c r="I406" s="37"/>
    </row>
    <row r="407" spans="5:9" s="38" customFormat="1" ht="15">
      <c r="E407" s="37"/>
      <c r="F407" s="37"/>
      <c r="G407" s="37"/>
      <c r="H407" s="37"/>
      <c r="I407" s="37"/>
    </row>
    <row r="408" spans="5:9" s="38" customFormat="1" ht="15">
      <c r="E408" s="37"/>
      <c r="F408" s="37"/>
      <c r="G408" s="37"/>
      <c r="H408" s="37"/>
      <c r="I408" s="37"/>
    </row>
    <row r="409" spans="5:9" s="38" customFormat="1" ht="15">
      <c r="E409" s="37"/>
      <c r="F409" s="37"/>
      <c r="G409" s="37"/>
      <c r="H409" s="37"/>
      <c r="I409" s="37"/>
    </row>
    <row r="410" spans="5:9" s="38" customFormat="1" ht="15">
      <c r="E410" s="37"/>
      <c r="F410" s="37"/>
      <c r="G410" s="37"/>
      <c r="H410" s="37"/>
      <c r="I410" s="37"/>
    </row>
    <row r="411" spans="5:9" s="38" customFormat="1" ht="15">
      <c r="E411" s="37"/>
      <c r="F411" s="37"/>
      <c r="G411" s="37"/>
      <c r="H411" s="37"/>
      <c r="I411" s="37"/>
    </row>
    <row r="412" spans="5:9" s="38" customFormat="1" ht="15">
      <c r="E412" s="37"/>
      <c r="F412" s="37"/>
      <c r="G412" s="37"/>
      <c r="H412" s="37"/>
      <c r="I412" s="37"/>
    </row>
    <row r="413" spans="5:9" s="38" customFormat="1" ht="15">
      <c r="E413" s="37"/>
      <c r="F413" s="37"/>
      <c r="G413" s="37"/>
      <c r="H413" s="37"/>
      <c r="I413" s="37"/>
    </row>
    <row r="414" spans="5:9" s="38" customFormat="1" ht="15">
      <c r="E414" s="37"/>
      <c r="F414" s="37"/>
      <c r="G414" s="37"/>
      <c r="H414" s="37"/>
      <c r="I414" s="37"/>
    </row>
    <row r="415" spans="5:9" s="38" customFormat="1" ht="15">
      <c r="E415" s="37"/>
      <c r="F415" s="37"/>
      <c r="G415" s="37"/>
      <c r="H415" s="37"/>
      <c r="I415" s="37"/>
    </row>
    <row r="416" spans="5:9" s="38" customFormat="1" ht="15">
      <c r="E416" s="37"/>
      <c r="F416" s="37"/>
      <c r="G416" s="37"/>
      <c r="H416" s="37"/>
      <c r="I416" s="37"/>
    </row>
    <row r="417" spans="5:9" s="38" customFormat="1" ht="15">
      <c r="E417" s="37"/>
      <c r="F417" s="37"/>
      <c r="G417" s="37"/>
      <c r="H417" s="37"/>
      <c r="I417" s="37"/>
    </row>
    <row r="418" spans="5:9" s="38" customFormat="1" ht="15">
      <c r="E418" s="37"/>
      <c r="F418" s="37"/>
      <c r="G418" s="37"/>
      <c r="H418" s="37"/>
      <c r="I418" s="37"/>
    </row>
    <row r="419" spans="5:9" s="38" customFormat="1" ht="15">
      <c r="E419" s="37"/>
      <c r="F419" s="37"/>
      <c r="G419" s="37"/>
      <c r="H419" s="37"/>
      <c r="I419" s="37"/>
    </row>
    <row r="420" spans="5:9" s="38" customFormat="1" ht="15">
      <c r="E420" s="37"/>
      <c r="F420" s="37"/>
      <c r="G420" s="37"/>
      <c r="H420" s="37"/>
      <c r="I420" s="37"/>
    </row>
    <row r="421" spans="5:9" s="38" customFormat="1" ht="15">
      <c r="E421" s="37"/>
      <c r="F421" s="37"/>
      <c r="G421" s="37"/>
      <c r="H421" s="37"/>
      <c r="I421" s="37"/>
    </row>
    <row r="422" spans="5:9" s="38" customFormat="1" ht="15">
      <c r="E422" s="37"/>
      <c r="F422" s="37"/>
      <c r="G422" s="37"/>
      <c r="H422" s="37"/>
      <c r="I422" s="37"/>
    </row>
    <row r="423" spans="5:9" s="38" customFormat="1" ht="15">
      <c r="E423" s="37"/>
      <c r="F423" s="37"/>
      <c r="G423" s="37"/>
      <c r="H423" s="37"/>
      <c r="I423" s="37"/>
    </row>
    <row r="424" spans="5:9" s="38" customFormat="1" ht="15">
      <c r="E424" s="3"/>
      <c r="F424" s="3"/>
      <c r="G424" s="37"/>
      <c r="H424" s="37"/>
      <c r="I424" s="37"/>
    </row>
    <row r="425" spans="5:9" s="38" customFormat="1" ht="15">
      <c r="E425" s="3"/>
      <c r="F425" s="3"/>
      <c r="G425" s="37"/>
      <c r="H425" s="37"/>
      <c r="I425" s="37"/>
    </row>
    <row r="426" spans="5:9" s="38" customFormat="1" ht="15">
      <c r="E426" s="3"/>
      <c r="F426" s="3"/>
      <c r="G426" s="37"/>
      <c r="H426" s="37"/>
      <c r="I426" s="37"/>
    </row>
    <row r="427" spans="5:9" s="38" customFormat="1" ht="15">
      <c r="E427" s="3"/>
      <c r="F427" s="3"/>
      <c r="G427" s="37"/>
      <c r="H427" s="37"/>
      <c r="I427" s="37"/>
    </row>
    <row r="428" spans="5:9" s="38" customFormat="1" ht="15">
      <c r="E428" s="3"/>
      <c r="F428" s="3"/>
      <c r="G428" s="37"/>
      <c r="H428" s="37"/>
      <c r="I428" s="37"/>
    </row>
    <row r="429" spans="5:9" s="38" customFormat="1" ht="15">
      <c r="E429" s="3"/>
      <c r="F429" s="3"/>
      <c r="G429" s="37"/>
      <c r="H429" s="37"/>
      <c r="I429" s="37"/>
    </row>
    <row r="430" spans="2:3" ht="15">
      <c r="B430" s="38"/>
      <c r="C430" s="38"/>
    </row>
    <row r="431" spans="2:3" ht="15">
      <c r="B431" s="38"/>
      <c r="C431" s="38"/>
    </row>
    <row r="432" spans="2:3" ht="15">
      <c r="B432" s="38"/>
      <c r="C432" s="38"/>
    </row>
    <row r="433" spans="2:3" ht="15">
      <c r="B433" s="38"/>
      <c r="C433" s="38"/>
    </row>
    <row r="434" spans="2:3" ht="15">
      <c r="B434" s="38"/>
      <c r="C434" s="38"/>
    </row>
    <row r="435" spans="2:3" ht="15">
      <c r="B435" s="38"/>
      <c r="C435" s="38"/>
    </row>
    <row r="436" spans="2:3" ht="15">
      <c r="B436" s="38"/>
      <c r="C436" s="38"/>
    </row>
    <row r="437" spans="2:3" ht="15">
      <c r="B437" s="38"/>
      <c r="C437" s="38"/>
    </row>
    <row r="438" spans="2:3" ht="15">
      <c r="B438" s="38"/>
      <c r="C438" s="38"/>
    </row>
    <row r="439" spans="2:3" ht="15">
      <c r="B439" s="38"/>
      <c r="C439" s="38"/>
    </row>
    <row r="440" spans="2:3" ht="15">
      <c r="B440" s="38"/>
      <c r="C440" s="38"/>
    </row>
    <row r="441" spans="2:3" ht="15">
      <c r="B441" s="38"/>
      <c r="C441" s="38"/>
    </row>
    <row r="442" spans="2:3" ht="15">
      <c r="B442" s="38"/>
      <c r="C442" s="38"/>
    </row>
    <row r="443" spans="2:3" ht="15">
      <c r="B443" s="38"/>
      <c r="C443" s="38"/>
    </row>
    <row r="444" spans="2:3" ht="15">
      <c r="B444" s="38"/>
      <c r="C444" s="38"/>
    </row>
    <row r="445" spans="2:3" ht="15">
      <c r="B445" s="38"/>
      <c r="C445" s="38"/>
    </row>
    <row r="446" spans="2:3" ht="15">
      <c r="B446" s="38"/>
      <c r="C446" s="38"/>
    </row>
    <row r="447" spans="2:3" ht="15">
      <c r="B447" s="38"/>
      <c r="C447" s="38"/>
    </row>
    <row r="448" spans="2:3" ht="15">
      <c r="B448" s="38"/>
      <c r="C448" s="38"/>
    </row>
    <row r="449" spans="2:3" ht="15">
      <c r="B449" s="38"/>
      <c r="C449" s="38"/>
    </row>
    <row r="450" spans="2:3" ht="15">
      <c r="B450" s="38"/>
      <c r="C450" s="38"/>
    </row>
    <row r="451" spans="2:3" ht="15">
      <c r="B451" s="38"/>
      <c r="C451" s="38"/>
    </row>
    <row r="452" spans="2:3" ht="15">
      <c r="B452" s="38"/>
      <c r="C452" s="38"/>
    </row>
    <row r="453" spans="2:3" ht="15">
      <c r="B453" s="38"/>
      <c r="C453" s="38"/>
    </row>
    <row r="454" spans="2:3" ht="15">
      <c r="B454" s="38"/>
      <c r="C454" s="38"/>
    </row>
    <row r="455" spans="2:3" ht="15">
      <c r="B455" s="38"/>
      <c r="C455" s="38"/>
    </row>
    <row r="456" spans="2:3" ht="15">
      <c r="B456" s="38"/>
      <c r="C456" s="38"/>
    </row>
    <row r="457" spans="2:3" ht="15">
      <c r="B457" s="38"/>
      <c r="C457" s="38"/>
    </row>
    <row r="458" spans="2:3" ht="15">
      <c r="B458" s="38"/>
      <c r="C458" s="38"/>
    </row>
    <row r="459" spans="2:3" ht="15">
      <c r="B459" s="38"/>
      <c r="C459" s="38"/>
    </row>
    <row r="460" spans="2:3" ht="15">
      <c r="B460" s="38"/>
      <c r="C460" s="38"/>
    </row>
    <row r="461" spans="2:3" ht="15">
      <c r="B461" s="38"/>
      <c r="C461" s="38"/>
    </row>
    <row r="462" spans="2:3" ht="15">
      <c r="B462" s="38"/>
      <c r="C462" s="38"/>
    </row>
    <row r="463" spans="2:3" ht="15">
      <c r="B463" s="38"/>
      <c r="C463" s="38"/>
    </row>
    <row r="464" spans="2:3" ht="15">
      <c r="B464" s="38"/>
      <c r="C464" s="38"/>
    </row>
    <row r="465" spans="2:3" ht="15">
      <c r="B465" s="38"/>
      <c r="C465" s="38"/>
    </row>
    <row r="466" spans="2:3" ht="15">
      <c r="B466" s="38"/>
      <c r="C466" s="38"/>
    </row>
    <row r="467" spans="2:3" ht="15">
      <c r="B467" s="38"/>
      <c r="C467" s="38"/>
    </row>
    <row r="468" spans="2:3" ht="15">
      <c r="B468" s="38"/>
      <c r="C468" s="38"/>
    </row>
    <row r="469" spans="2:3" ht="15">
      <c r="B469" s="38"/>
      <c r="C469" s="38"/>
    </row>
    <row r="470" spans="2:3" ht="15">
      <c r="B470" s="38"/>
      <c r="C470" s="38"/>
    </row>
    <row r="471" spans="2:3" ht="15">
      <c r="B471" s="38"/>
      <c r="C471" s="38"/>
    </row>
    <row r="472" spans="2:3" ht="15">
      <c r="B472" s="38"/>
      <c r="C472" s="38"/>
    </row>
    <row r="473" spans="2:3" ht="15">
      <c r="B473" s="38"/>
      <c r="C473" s="38"/>
    </row>
    <row r="474" spans="2:3" ht="15">
      <c r="B474" s="38"/>
      <c r="C474" s="38"/>
    </row>
    <row r="475" spans="2:3" ht="15">
      <c r="B475" s="38"/>
      <c r="C475" s="38"/>
    </row>
    <row r="476" spans="2:3" ht="15">
      <c r="B476" s="38"/>
      <c r="C476" s="38"/>
    </row>
    <row r="477" spans="2:3" ht="15">
      <c r="B477" s="38"/>
      <c r="C477" s="38"/>
    </row>
    <row r="478" spans="2:3" ht="15">
      <c r="B478" s="38"/>
      <c r="C478" s="38"/>
    </row>
    <row r="479" spans="2:3" ht="15">
      <c r="B479" s="38"/>
      <c r="C479" s="38"/>
    </row>
    <row r="480" spans="2:3" ht="15">
      <c r="B480" s="38"/>
      <c r="C480" s="38"/>
    </row>
    <row r="481" spans="2:3" ht="15">
      <c r="B481" s="38"/>
      <c r="C481" s="38"/>
    </row>
    <row r="482" spans="2:3" ht="15">
      <c r="B482" s="38"/>
      <c r="C482" s="38"/>
    </row>
    <row r="483" spans="2:3" ht="15">
      <c r="B483" s="38"/>
      <c r="C483" s="38"/>
    </row>
    <row r="484" spans="2:3" ht="15">
      <c r="B484" s="38"/>
      <c r="C484" s="38"/>
    </row>
    <row r="485" spans="2:3" ht="15">
      <c r="B485" s="38"/>
      <c r="C485" s="38"/>
    </row>
    <row r="486" spans="2:3" ht="15">
      <c r="B486" s="38"/>
      <c r="C486" s="38"/>
    </row>
    <row r="487" spans="2:3" ht="15">
      <c r="B487" s="38"/>
      <c r="C487" s="38"/>
    </row>
    <row r="488" spans="2:3" ht="15">
      <c r="B488" s="38"/>
      <c r="C488" s="38"/>
    </row>
    <row r="489" spans="2:3" ht="15">
      <c r="B489" s="38"/>
      <c r="C489" s="38"/>
    </row>
    <row r="490" spans="2:3" ht="15">
      <c r="B490" s="38"/>
      <c r="C490" s="38"/>
    </row>
    <row r="491" spans="2:3" ht="15">
      <c r="B491" s="38"/>
      <c r="C491" s="38"/>
    </row>
    <row r="492" spans="2:3" ht="15">
      <c r="B492" s="38"/>
      <c r="C492" s="38"/>
    </row>
    <row r="493" spans="2:3" ht="15">
      <c r="B493" s="38"/>
      <c r="C493" s="38"/>
    </row>
    <row r="494" spans="2:3" ht="15">
      <c r="B494" s="38"/>
      <c r="C494" s="38"/>
    </row>
    <row r="495" spans="2:3" ht="15">
      <c r="B495" s="38"/>
      <c r="C495" s="38"/>
    </row>
    <row r="496" spans="2:3" ht="15">
      <c r="B496" s="38"/>
      <c r="C496" s="38"/>
    </row>
    <row r="497" spans="2:3" ht="15">
      <c r="B497" s="38"/>
      <c r="C497" s="38"/>
    </row>
    <row r="498" spans="2:3" ht="15">
      <c r="B498" s="38"/>
      <c r="C498" s="38"/>
    </row>
    <row r="499" spans="2:3" ht="15">
      <c r="B499" s="38"/>
      <c r="C499" s="38"/>
    </row>
    <row r="500" spans="2:3" ht="15">
      <c r="B500" s="38"/>
      <c r="C500" s="38"/>
    </row>
    <row r="501" spans="2:3" ht="15">
      <c r="B501" s="38"/>
      <c r="C501" s="38"/>
    </row>
    <row r="502" spans="2:3" ht="15">
      <c r="B502" s="38"/>
      <c r="C502" s="38"/>
    </row>
    <row r="503" spans="2:3" ht="15">
      <c r="B503" s="38"/>
      <c r="C503" s="38"/>
    </row>
    <row r="504" spans="2:3" ht="15">
      <c r="B504" s="38"/>
      <c r="C504" s="38"/>
    </row>
  </sheetData>
  <sheetProtection password="CFC9" sheet="1" objects="1" scenarios="1"/>
  <mergeCells count="12">
    <mergeCell ref="E9:I9"/>
    <mergeCell ref="E10:I10"/>
    <mergeCell ref="B16:C16"/>
    <mergeCell ref="E5:J5"/>
    <mergeCell ref="E6:I6"/>
    <mergeCell ref="E13:I13"/>
    <mergeCell ref="E12:I12"/>
    <mergeCell ref="E7:I7"/>
    <mergeCell ref="E8:I8"/>
    <mergeCell ref="B5:C5"/>
    <mergeCell ref="B11:F11"/>
    <mergeCell ref="B12:C12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L509"/>
  <sheetViews>
    <sheetView showGridLines="0" zoomScale="85" zoomScaleNormal="85" zoomScalePageLayoutView="0" workbookViewId="0" topLeftCell="A1">
      <selection activeCell="C28" sqref="C28"/>
    </sheetView>
  </sheetViews>
  <sheetFormatPr defaultColWidth="9.140625" defaultRowHeight="15"/>
  <cols>
    <col min="1" max="1" width="6.140625" style="0" customWidth="1"/>
    <col min="2" max="2" width="50.7109375" style="0" customWidth="1"/>
    <col min="3" max="3" width="25.140625" style="0" customWidth="1"/>
    <col min="4" max="4" width="5.57421875" style="0" customWidth="1"/>
    <col min="5" max="5" width="52.00390625" style="0" customWidth="1"/>
    <col min="6" max="6" width="20.7109375" style="0" customWidth="1"/>
    <col min="8" max="12" width="10.57421875" style="0" customWidth="1"/>
  </cols>
  <sheetData>
    <row r="1" spans="2:3" ht="18.75">
      <c r="B1" s="85" t="str">
        <f>"Country Name:         "&amp;Scrap!B15</f>
        <v>Country Name:         </v>
      </c>
      <c r="C1" s="3"/>
    </row>
    <row r="2" spans="2:3" ht="18.75">
      <c r="B2" s="86" t="str">
        <f>"EU Name:                   "&amp;Scrap!B16</f>
        <v>EU Name:                   </v>
      </c>
      <c r="C2" s="3"/>
    </row>
    <row r="3" spans="2:3" ht="18.75">
      <c r="B3" s="86" t="str">
        <f>"Primary LF Vector:   "&amp;Scrap!B17</f>
        <v>Primary LF Vector:   </v>
      </c>
      <c r="C3" s="15"/>
    </row>
    <row r="4" ht="17.25" customHeight="1"/>
    <row r="5" spans="2:6" ht="21.75" customHeight="1">
      <c r="B5" s="166" t="s">
        <v>73</v>
      </c>
      <c r="C5" s="166"/>
      <c r="E5" s="167" t="s">
        <v>74</v>
      </c>
      <c r="F5" s="167"/>
    </row>
    <row r="6" spans="2:6" s="87" customFormat="1" ht="32.25" customHeight="1">
      <c r="B6" s="102" t="str">
        <f>'Start Here'!C6</f>
        <v>Target population </v>
      </c>
      <c r="C6" s="91">
        <f>'Start Here'!D6</f>
        <v>0</v>
      </c>
      <c r="E6" s="102" t="str">
        <f>'Start Here'!F6</f>
        <v>Target population </v>
      </c>
      <c r="F6" s="91" t="str">
        <f>IF('Start Here'!G6="","NA",'Start Here'!G6)</f>
        <v>NA</v>
      </c>
    </row>
    <row r="7" spans="2:6" s="87" customFormat="1" ht="32.25" customHeight="1">
      <c r="B7" s="103" t="str">
        <f>'Start Here'!C7</f>
        <v>Number of children in target population</v>
      </c>
      <c r="C7" s="104">
        <f>'Start Here'!D7</f>
        <v>0</v>
      </c>
      <c r="E7" s="103" t="str">
        <f>'Start Here'!F7</f>
        <v>Number of children in target population</v>
      </c>
      <c r="F7" s="91" t="str">
        <f>IF('Start Here'!G7="","NA",'Start Here'!G7)</f>
        <v>NA</v>
      </c>
    </row>
    <row r="8" spans="2:6" s="87" customFormat="1" ht="32.25" customHeight="1">
      <c r="B8" s="105" t="str">
        <f>'Start Here'!C8</f>
        <v>Number of primary schools in the EU</v>
      </c>
      <c r="C8" s="106">
        <f>'Start Here'!D8</f>
        <v>0</v>
      </c>
      <c r="E8" s="105" t="str">
        <f>'Start Here'!F8</f>
        <v>Number of primary schools in the EU</v>
      </c>
      <c r="F8" s="91" t="str">
        <f>IF('Start Here'!G8="","NA",'Start Here'!G8)</f>
        <v>NA</v>
      </c>
    </row>
    <row r="9" spans="2:6" s="87" customFormat="1" ht="32.25" customHeight="1">
      <c r="B9" s="103" t="str">
        <f>'Start Here'!C9</f>
        <v>Predicted LF non-response rate</v>
      </c>
      <c r="C9" s="107">
        <f>'Start Here'!D9</f>
        <v>0</v>
      </c>
      <c r="E9" s="103" t="str">
        <f>'Start Here'!F9</f>
        <v>Predicted STH non-response rate</v>
      </c>
      <c r="F9" s="141" t="str">
        <f>IF('Start Here'!G9="","NA",'Start Here'!G9)</f>
        <v>NA</v>
      </c>
    </row>
    <row r="10" spans="2:6" s="87" customFormat="1" ht="32.25" customHeight="1">
      <c r="B10" s="102" t="s">
        <v>135</v>
      </c>
      <c r="C10" s="108" t="e">
        <f>ROUNDDOWN(C7/C8,0)</f>
        <v>#DIV/0!</v>
      </c>
      <c r="E10" s="102" t="s">
        <v>135</v>
      </c>
      <c r="F10" s="108" t="str">
        <f>IF(F9="NA","NA",ROUNDDOWN(F7/F8,0))</f>
        <v>NA</v>
      </c>
    </row>
    <row r="11" spans="2:6" ht="42.75" customHeight="1">
      <c r="B11" s="168" t="s">
        <v>41</v>
      </c>
      <c r="C11" s="168"/>
      <c r="D11" s="168"/>
      <c r="E11" s="168"/>
      <c r="F11" s="168"/>
    </row>
    <row r="12" spans="2:6" ht="54.75" customHeight="1">
      <c r="B12" s="169" t="str">
        <f>"Systematic Sample of "&amp;C6</f>
        <v>Systematic Sample of 0</v>
      </c>
      <c r="C12" s="169"/>
      <c r="D12" s="143"/>
      <c r="E12" s="170" t="str">
        <f>IF(F6="NA","NA",("Systematic Sample of "&amp;F6))</f>
        <v>NA</v>
      </c>
      <c r="F12" s="170"/>
    </row>
    <row r="13" spans="2:6" ht="19.5" customHeight="1">
      <c r="B13" s="171" t="s">
        <v>75</v>
      </c>
      <c r="C13" s="171"/>
      <c r="E13" s="171" t="s">
        <v>75</v>
      </c>
      <c r="F13" s="171"/>
    </row>
    <row r="14" spans="2:12" s="88" customFormat="1" ht="46.5" customHeight="1">
      <c r="B14" s="124" t="str">
        <f>"Sample Size for Systematic Sample"</f>
        <v>Sample Size for Systematic Sample</v>
      </c>
      <c r="C14" s="125" t="str">
        <f>IF(Scrap!B17="Aedes",VLOOKUP(C7,'Critical Values'!B27:I47,4,TRUE),(IF(Scrap!B17="Anopheles, Culex, or Mansonia",VLOOKUP(C7,'Critical Values'!B2:I26,4,TRUE),"Please go back to 'Start Here' and double check all data fields for completeness")))</f>
        <v>Please go back to 'Start Here' and double check all data fields for completeness</v>
      </c>
      <c r="D14" s="89"/>
      <c r="E14" s="105" t="str">
        <f>"Sample Size for Systematic Sample"</f>
        <v>Sample Size for Systematic Sample</v>
      </c>
      <c r="F14" s="125" t="str">
        <f>IF(F9="NA","NA",166)</f>
        <v>NA</v>
      </c>
      <c r="H14" s="175" t="s">
        <v>103</v>
      </c>
      <c r="I14" s="175"/>
      <c r="J14" s="175"/>
      <c r="K14" s="175"/>
      <c r="L14" s="175"/>
    </row>
    <row r="15" spans="2:12" s="88" customFormat="1" ht="6.75" customHeight="1">
      <c r="B15" s="126"/>
      <c r="C15" s="127"/>
      <c r="D15" s="129"/>
      <c r="E15" s="128"/>
      <c r="F15" s="127"/>
      <c r="H15" s="176"/>
      <c r="I15" s="176"/>
      <c r="J15" s="176"/>
      <c r="K15" s="176"/>
      <c r="L15" s="176"/>
    </row>
    <row r="16" spans="2:12" s="88" customFormat="1" ht="32.25" customHeight="1">
      <c r="B16" s="112" t="s">
        <v>109</v>
      </c>
      <c r="C16" s="111" t="e">
        <f>IF(C17&gt;1,(1/C17),1)</f>
        <v>#VALUE!</v>
      </c>
      <c r="E16" s="102" t="s">
        <v>111</v>
      </c>
      <c r="F16" s="111" t="str">
        <f>IF(F9="NA","NA",(IF(F17&gt;1,(1/F17),1)))</f>
        <v>NA</v>
      </c>
      <c r="H16" s="97" t="s">
        <v>101</v>
      </c>
      <c r="I16" s="97" t="s">
        <v>98</v>
      </c>
      <c r="J16" s="97" t="s">
        <v>99</v>
      </c>
      <c r="K16" s="97" t="s">
        <v>100</v>
      </c>
      <c r="L16" s="98" t="s">
        <v>93</v>
      </c>
    </row>
    <row r="17" spans="2:12" s="88" customFormat="1" ht="32.25" customHeight="1">
      <c r="B17" s="112" t="s">
        <v>110</v>
      </c>
      <c r="C17" s="111" t="e">
        <f>IF(C7/(ROUNDUP((C14/(1-C9)),0))&gt;1,C7/(ROUNDUP((C14/(1-C9)),0)),1)</f>
        <v>#VALUE!</v>
      </c>
      <c r="E17" s="102" t="s">
        <v>112</v>
      </c>
      <c r="F17" s="111" t="str">
        <f>IF(F9="NA","NA",IF(F7/(ROUNDUP((F14/(1-F9)),0))&gt;1,F7/(ROUNDUP((F14/(1-F9)),0)),1))</f>
        <v>NA</v>
      </c>
      <c r="H17" s="99" t="e">
        <f>VLOOKUP($F$14,'STH Critical Values'!$C$5:$H$6,2,FALSE)</f>
        <v>#N/A</v>
      </c>
      <c r="I17" s="99" t="e">
        <f>VLOOKUP($F$14,'STH Critical Values'!$C$5:$H$6,3,FALSE)</f>
        <v>#N/A</v>
      </c>
      <c r="J17" s="99" t="e">
        <f>VLOOKUP($F$14,'STH Critical Values'!$C$5:$H$6,4,FALSE)</f>
        <v>#N/A</v>
      </c>
      <c r="K17" s="99" t="e">
        <f>VLOOKUP($F$14,'STH Critical Values'!$C$5:$H$6,5,FALSE)</f>
        <v>#N/A</v>
      </c>
      <c r="L17" s="99" t="e">
        <f>VLOOKUP($F$14,'STH Critical Values'!$C$5:$H$6,6,FALSE)</f>
        <v>#N/A</v>
      </c>
    </row>
    <row r="18" spans="2:6" s="88" customFormat="1" ht="32.25" customHeight="1">
      <c r="B18" s="112" t="s">
        <v>106</v>
      </c>
      <c r="C18" s="109" t="e">
        <f>VLOOKUP(C14,'Critical Values'!E:F,2,FALSE)</f>
        <v>#N/A</v>
      </c>
      <c r="E18" s="177" t="s">
        <v>102</v>
      </c>
      <c r="F18" s="178"/>
    </row>
    <row r="19" spans="1:5" ht="18" customHeight="1">
      <c r="A19" s="60" t="s">
        <v>34</v>
      </c>
      <c r="B19" s="3" t="str">
        <f>"Based on a "&amp;C9*100&amp;"% absentee rate"</f>
        <v>Based on a 0% absentee rate</v>
      </c>
      <c r="D19" s="90">
        <v>2</v>
      </c>
      <c r="E19" s="3">
        <f>IF(F9="NA","",("Based on a "&amp;F9*100&amp;"% absentee rate"))</f>
      </c>
    </row>
    <row r="20" spans="1:2" s="38" customFormat="1" ht="57.75" customHeight="1">
      <c r="A20" s="37"/>
      <c r="B20" s="37"/>
    </row>
    <row r="21" spans="2:6" ht="39.75" customHeight="1">
      <c r="B21" s="172" t="str">
        <f>"Lists corresponding to the children selected for sampling out of all "&amp;C6&amp;" per school"</f>
        <v>Lists corresponding to the children selected for sampling out of all 0 per school</v>
      </c>
      <c r="C21" s="172"/>
      <c r="E21" s="174" t="str">
        <f>IF(C6=F6,"","Lists corresponding to the students selected for sampling out of all "&amp;F6&amp;" per school")</f>
        <v>Lists corresponding to the students selected for sampling out of all NA per school</v>
      </c>
      <c r="F21" s="174"/>
    </row>
    <row r="22" spans="2:3" ht="28.5" customHeight="1">
      <c r="B22" s="173">
        <f>IF(C6=F6,"Note: the numbers with the ' * ' next to them correspond to children who should be sampled for both TAS and STH","")</f>
      </c>
      <c r="C22" s="173"/>
    </row>
    <row r="23" spans="2:6" ht="15.75">
      <c r="B23" s="131" t="str">
        <f>IF(C6=F6,"TAS/STH List A","TAS List A")</f>
        <v>TAS List A</v>
      </c>
      <c r="C23" s="131" t="str">
        <f>IF(C6=F6,"TAS/STH List B","TAS List B")</f>
        <v>TAS List B</v>
      </c>
      <c r="E23" s="131"/>
      <c r="F23" s="131"/>
    </row>
    <row r="325" spans="2:6" s="38" customFormat="1" ht="15">
      <c r="B325" s="101"/>
      <c r="C325" s="101" t="s">
        <v>124</v>
      </c>
      <c r="D325" s="51"/>
      <c r="E325" s="51"/>
      <c r="F325" s="51"/>
    </row>
    <row r="326" spans="2:6" s="38" customFormat="1" ht="15">
      <c r="B326" s="101" t="s">
        <v>140</v>
      </c>
      <c r="C326" s="101" t="s">
        <v>116</v>
      </c>
      <c r="D326" s="51"/>
      <c r="E326" s="51"/>
      <c r="F326" s="51"/>
    </row>
    <row r="327" spans="2:6" s="38" customFormat="1" ht="15">
      <c r="B327" s="101"/>
      <c r="C327" s="101"/>
      <c r="D327" s="51"/>
      <c r="E327" s="51"/>
      <c r="F327" s="51"/>
    </row>
    <row r="328" spans="2:6" s="38" customFormat="1" ht="15">
      <c r="B328" s="101"/>
      <c r="C328" s="101"/>
      <c r="D328" s="51"/>
      <c r="E328" s="51"/>
      <c r="F328" s="51"/>
    </row>
    <row r="329" spans="2:6" s="38" customFormat="1" ht="15">
      <c r="B329" s="101"/>
      <c r="C329" s="101"/>
      <c r="D329" s="51"/>
      <c r="E329" s="51"/>
      <c r="F329" s="51"/>
    </row>
    <row r="330" spans="2:6" s="38" customFormat="1" ht="15">
      <c r="B330" s="101"/>
      <c r="C330" s="101"/>
      <c r="D330" s="51"/>
      <c r="E330" s="51"/>
      <c r="F330" s="51"/>
    </row>
    <row r="331" spans="2:6" s="38" customFormat="1" ht="15">
      <c r="B331" s="101"/>
      <c r="C331" s="101"/>
      <c r="D331" s="51"/>
      <c r="E331" s="51"/>
      <c r="F331" s="51"/>
    </row>
    <row r="332" spans="2:6" s="38" customFormat="1" ht="15">
      <c r="B332" s="101"/>
      <c r="C332" s="101"/>
      <c r="D332" s="51"/>
      <c r="E332" s="51"/>
      <c r="F332" s="51"/>
    </row>
    <row r="333" spans="2:6" s="38" customFormat="1" ht="15">
      <c r="B333" s="101" t="s">
        <v>116</v>
      </c>
      <c r="C333" s="101"/>
      <c r="D333" s="51"/>
      <c r="E333" s="51"/>
      <c r="F333" s="51"/>
    </row>
    <row r="334" spans="2:6" s="38" customFormat="1" ht="15">
      <c r="B334" s="101"/>
      <c r="C334" s="101"/>
      <c r="D334" s="51"/>
      <c r="E334" s="51"/>
      <c r="F334" s="51"/>
    </row>
    <row r="335" spans="2:6" s="38" customFormat="1" ht="15">
      <c r="B335" s="101"/>
      <c r="C335" s="101"/>
      <c r="D335" s="51"/>
      <c r="E335" s="51"/>
      <c r="F335" s="51"/>
    </row>
    <row r="336" spans="2:6" s="38" customFormat="1" ht="15">
      <c r="B336" s="101"/>
      <c r="C336" s="101"/>
      <c r="D336" s="51"/>
      <c r="E336" s="51"/>
      <c r="F336" s="51"/>
    </row>
    <row r="337" spans="2:6" s="38" customFormat="1" ht="15">
      <c r="B337" s="101"/>
      <c r="C337" s="101"/>
      <c r="D337" s="51"/>
      <c r="E337" s="51"/>
      <c r="F337" s="51"/>
    </row>
    <row r="338" spans="2:6" s="38" customFormat="1" ht="15">
      <c r="B338" s="101"/>
      <c r="C338" s="101"/>
      <c r="D338" s="51"/>
      <c r="E338" s="51"/>
      <c r="F338" s="51"/>
    </row>
    <row r="339" spans="2:6" s="38" customFormat="1" ht="15">
      <c r="B339" s="101"/>
      <c r="C339" s="101"/>
      <c r="D339" s="51"/>
      <c r="E339" s="51"/>
      <c r="F339" s="51"/>
    </row>
    <row r="340" spans="2:6" s="38" customFormat="1" ht="15">
      <c r="B340" s="101"/>
      <c r="C340" s="101"/>
      <c r="D340" s="51"/>
      <c r="E340" s="51"/>
      <c r="F340" s="51"/>
    </row>
    <row r="341" spans="2:6" s="38" customFormat="1" ht="15">
      <c r="B341" s="101"/>
      <c r="C341" s="101"/>
      <c r="D341" s="51"/>
      <c r="E341" s="51"/>
      <c r="F341" s="51"/>
    </row>
    <row r="342" spans="2:6" s="38" customFormat="1" ht="15">
      <c r="B342" s="101"/>
      <c r="C342" s="101"/>
      <c r="D342" s="51"/>
      <c r="E342" s="51"/>
      <c r="F342" s="51"/>
    </row>
    <row r="343" spans="2:6" s="38" customFormat="1" ht="15">
      <c r="B343" s="101"/>
      <c r="C343" s="101"/>
      <c r="D343" s="51"/>
      <c r="E343" s="51"/>
      <c r="F343" s="51"/>
    </row>
    <row r="344" spans="2:6" s="38" customFormat="1" ht="15">
      <c r="B344" s="101"/>
      <c r="C344" s="101"/>
      <c r="D344" s="51"/>
      <c r="E344" s="51"/>
      <c r="F344" s="51"/>
    </row>
    <row r="345" spans="2:6" s="38" customFormat="1" ht="15">
      <c r="B345" s="101"/>
      <c r="C345" s="101"/>
      <c r="D345" s="51"/>
      <c r="E345" s="51"/>
      <c r="F345" s="51"/>
    </row>
    <row r="346" spans="2:6" s="38" customFormat="1" ht="15">
      <c r="B346" s="51"/>
      <c r="C346" s="51"/>
      <c r="D346" s="51"/>
      <c r="E346" s="51"/>
      <c r="F346" s="51"/>
    </row>
    <row r="347" spans="2:6" s="38" customFormat="1" ht="15">
      <c r="B347" s="51"/>
      <c r="C347" s="51"/>
      <c r="D347" s="51"/>
      <c r="E347" s="51"/>
      <c r="F347" s="51"/>
    </row>
    <row r="348" spans="2:6" s="38" customFormat="1" ht="15">
      <c r="B348" s="51"/>
      <c r="C348" s="51"/>
      <c r="D348" s="51"/>
      <c r="E348" s="51"/>
      <c r="F348" s="51"/>
    </row>
    <row r="349" spans="2:6" s="38" customFormat="1" ht="15">
      <c r="B349" s="51"/>
      <c r="C349" s="51"/>
      <c r="D349" s="51"/>
      <c r="E349" s="51"/>
      <c r="F349" s="51"/>
    </row>
    <row r="350" spans="2:6" s="38" customFormat="1" ht="15">
      <c r="B350" s="51"/>
      <c r="C350" s="51"/>
      <c r="D350" s="51"/>
      <c r="E350" s="51"/>
      <c r="F350" s="51"/>
    </row>
    <row r="351" spans="2:6" s="38" customFormat="1" ht="15">
      <c r="B351" s="51"/>
      <c r="C351" s="51"/>
      <c r="D351" s="51"/>
      <c r="E351" s="51"/>
      <c r="F351" s="51"/>
    </row>
    <row r="352" spans="2:6" s="38" customFormat="1" ht="15">
      <c r="B352" s="51"/>
      <c r="C352" s="51"/>
      <c r="D352" s="51"/>
      <c r="E352" s="51"/>
      <c r="F352" s="51"/>
    </row>
    <row r="353" spans="2:6" s="38" customFormat="1" ht="15">
      <c r="B353" s="51"/>
      <c r="C353" s="51"/>
      <c r="D353" s="51"/>
      <c r="E353" s="51"/>
      <c r="F353" s="51"/>
    </row>
    <row r="354" spans="2:6" s="38" customFormat="1" ht="15">
      <c r="B354" s="51"/>
      <c r="C354" s="51"/>
      <c r="D354" s="51"/>
      <c r="E354" s="51"/>
      <c r="F354" s="51"/>
    </row>
    <row r="355" spans="2:6" s="38" customFormat="1" ht="15">
      <c r="B355" s="51"/>
      <c r="C355" s="51"/>
      <c r="D355" s="51"/>
      <c r="E355" s="51"/>
      <c r="F355" s="51"/>
    </row>
    <row r="356" s="38" customFormat="1" ht="15"/>
    <row r="357" s="38" customFormat="1" ht="15"/>
    <row r="358" s="38" customFormat="1" ht="15"/>
    <row r="359" s="38" customFormat="1" ht="15"/>
    <row r="360" s="38" customFormat="1" ht="15"/>
    <row r="361" s="38" customFormat="1" ht="15"/>
    <row r="362" s="38" customFormat="1" ht="15"/>
    <row r="363" s="38" customFormat="1" ht="15"/>
    <row r="364" s="38" customFormat="1" ht="15"/>
    <row r="365" s="38" customFormat="1" ht="15"/>
    <row r="366" s="38" customFormat="1" ht="15"/>
    <row r="367" s="38" customFormat="1" ht="15"/>
    <row r="368" s="38" customFormat="1" ht="15"/>
    <row r="369" s="38" customFormat="1" ht="15"/>
    <row r="370" s="38" customFormat="1" ht="15"/>
    <row r="371" s="38" customFormat="1" ht="15"/>
    <row r="372" s="38" customFormat="1" ht="15"/>
    <row r="373" s="38" customFormat="1" ht="15"/>
    <row r="374" s="38" customFormat="1" ht="15"/>
    <row r="375" s="38" customFormat="1" ht="15"/>
    <row r="376" s="38" customFormat="1" ht="15"/>
    <row r="377" s="38" customFormat="1" ht="15"/>
    <row r="378" s="38" customFormat="1" ht="15"/>
    <row r="379" s="38" customFormat="1" ht="15"/>
    <row r="380" s="38" customFormat="1" ht="15"/>
    <row r="381" s="38" customFormat="1" ht="15"/>
    <row r="382" s="38" customFormat="1" ht="15"/>
    <row r="383" s="38" customFormat="1" ht="15"/>
    <row r="384" s="38" customFormat="1" ht="15"/>
    <row r="385" s="38" customFormat="1" ht="15"/>
    <row r="386" s="38" customFormat="1" ht="15"/>
    <row r="387" s="38" customFormat="1" ht="15"/>
    <row r="388" s="38" customFormat="1" ht="15"/>
    <row r="389" s="38" customFormat="1" ht="15"/>
    <row r="390" s="38" customFormat="1" ht="15"/>
    <row r="391" s="38" customFormat="1" ht="15"/>
    <row r="392" s="38" customFormat="1" ht="15"/>
    <row r="393" s="38" customFormat="1" ht="15"/>
    <row r="394" s="38" customFormat="1" ht="15"/>
    <row r="395" s="38" customFormat="1" ht="15"/>
    <row r="396" s="38" customFormat="1" ht="15"/>
    <row r="397" s="38" customFormat="1" ht="15"/>
    <row r="398" s="38" customFormat="1" ht="15"/>
    <row r="399" s="38" customFormat="1" ht="15"/>
    <row r="400" s="38" customFormat="1" ht="15"/>
    <row r="401" s="38" customFormat="1" ht="15"/>
    <row r="402" s="38" customFormat="1" ht="15"/>
    <row r="403" s="38" customFormat="1" ht="15"/>
    <row r="404" s="38" customFormat="1" ht="15"/>
    <row r="405" s="38" customFormat="1" ht="15"/>
    <row r="406" s="38" customFormat="1" ht="15"/>
    <row r="407" s="38" customFormat="1" ht="15"/>
    <row r="408" s="38" customFormat="1" ht="15"/>
    <row r="409" s="38" customFormat="1" ht="15"/>
    <row r="410" s="38" customFormat="1" ht="15"/>
    <row r="411" s="38" customFormat="1" ht="15"/>
    <row r="412" s="38" customFormat="1" ht="15"/>
    <row r="413" s="38" customFormat="1" ht="15"/>
    <row r="414" s="38" customFormat="1" ht="15"/>
    <row r="415" s="38" customFormat="1" ht="15"/>
    <row r="416" s="38" customFormat="1" ht="15"/>
    <row r="417" s="38" customFormat="1" ht="15"/>
    <row r="418" s="38" customFormat="1" ht="15"/>
    <row r="419" s="38" customFormat="1" ht="15"/>
    <row r="420" s="38" customFormat="1" ht="15"/>
    <row r="421" s="38" customFormat="1" ht="15"/>
    <row r="422" s="38" customFormat="1" ht="15"/>
    <row r="423" s="38" customFormat="1" ht="15"/>
    <row r="424" s="38" customFormat="1" ht="15"/>
    <row r="425" s="38" customFormat="1" ht="15"/>
    <row r="426" s="38" customFormat="1" ht="15"/>
    <row r="427" s="38" customFormat="1" ht="15"/>
    <row r="428" s="38" customFormat="1" ht="15"/>
    <row r="429" s="38" customFormat="1" ht="15"/>
    <row r="430" s="38" customFormat="1" ht="15"/>
    <row r="431" spans="2:3" ht="15">
      <c r="B431" s="38"/>
      <c r="C431" s="38"/>
    </row>
    <row r="432" spans="2:3" ht="15">
      <c r="B432" s="38"/>
      <c r="C432" s="38"/>
    </row>
    <row r="433" spans="2:3" ht="15">
      <c r="B433" s="38"/>
      <c r="C433" s="38"/>
    </row>
    <row r="434" spans="2:3" ht="15">
      <c r="B434" s="38"/>
      <c r="C434" s="38"/>
    </row>
    <row r="435" spans="2:3" ht="15">
      <c r="B435" s="38"/>
      <c r="C435" s="38"/>
    </row>
    <row r="436" spans="2:3" ht="15">
      <c r="B436" s="38"/>
      <c r="C436" s="38"/>
    </row>
    <row r="437" spans="2:3" ht="15">
      <c r="B437" s="38"/>
      <c r="C437" s="38"/>
    </row>
    <row r="438" spans="2:3" ht="15">
      <c r="B438" s="38"/>
      <c r="C438" s="38"/>
    </row>
    <row r="439" spans="2:3" ht="15">
      <c r="B439" s="38"/>
      <c r="C439" s="38"/>
    </row>
    <row r="440" spans="2:3" ht="15">
      <c r="B440" s="38"/>
      <c r="C440" s="38"/>
    </row>
    <row r="441" spans="2:3" ht="15">
      <c r="B441" s="38"/>
      <c r="C441" s="38"/>
    </row>
    <row r="442" spans="2:3" ht="15">
      <c r="B442" s="38"/>
      <c r="C442" s="38"/>
    </row>
    <row r="443" spans="2:3" ht="15">
      <c r="B443" s="38"/>
      <c r="C443" s="38"/>
    </row>
    <row r="444" spans="2:3" ht="15">
      <c r="B444" s="38"/>
      <c r="C444" s="38"/>
    </row>
    <row r="445" spans="2:3" ht="15">
      <c r="B445" s="38"/>
      <c r="C445" s="38"/>
    </row>
    <row r="446" spans="2:3" ht="15">
      <c r="B446" s="38"/>
      <c r="C446" s="38"/>
    </row>
    <row r="447" spans="2:3" ht="15">
      <c r="B447" s="38"/>
      <c r="C447" s="38"/>
    </row>
    <row r="448" spans="2:3" ht="15">
      <c r="B448" s="38"/>
      <c r="C448" s="38"/>
    </row>
    <row r="449" spans="2:3" ht="15">
      <c r="B449" s="38"/>
      <c r="C449" s="38"/>
    </row>
    <row r="450" spans="2:3" ht="15">
      <c r="B450" s="38"/>
      <c r="C450" s="38"/>
    </row>
    <row r="451" spans="2:3" ht="15">
      <c r="B451" s="38"/>
      <c r="C451" s="38"/>
    </row>
    <row r="452" spans="2:3" ht="15">
      <c r="B452" s="38"/>
      <c r="C452" s="38"/>
    </row>
    <row r="453" spans="2:3" ht="15">
      <c r="B453" s="38"/>
      <c r="C453" s="38"/>
    </row>
    <row r="454" spans="2:3" ht="15">
      <c r="B454" s="38"/>
      <c r="C454" s="38"/>
    </row>
    <row r="455" spans="2:3" ht="15">
      <c r="B455" s="38"/>
      <c r="C455" s="38"/>
    </row>
    <row r="456" spans="2:3" ht="15">
      <c r="B456" s="38"/>
      <c r="C456" s="38"/>
    </row>
    <row r="457" spans="2:3" ht="15">
      <c r="B457" s="38"/>
      <c r="C457" s="38"/>
    </row>
    <row r="458" spans="2:3" ht="15">
      <c r="B458" s="38"/>
      <c r="C458" s="38"/>
    </row>
    <row r="459" spans="2:3" ht="15">
      <c r="B459" s="38"/>
      <c r="C459" s="38"/>
    </row>
    <row r="460" spans="2:3" ht="15">
      <c r="B460" s="38"/>
      <c r="C460" s="38"/>
    </row>
    <row r="461" spans="2:3" ht="15">
      <c r="B461" s="38"/>
      <c r="C461" s="38"/>
    </row>
    <row r="462" spans="2:3" ht="15">
      <c r="B462" s="38"/>
      <c r="C462" s="38"/>
    </row>
    <row r="463" spans="2:3" ht="15">
      <c r="B463" s="38"/>
      <c r="C463" s="38"/>
    </row>
    <row r="464" spans="2:3" ht="15">
      <c r="B464" s="38"/>
      <c r="C464" s="38"/>
    </row>
    <row r="465" spans="2:3" ht="15">
      <c r="B465" s="38"/>
      <c r="C465" s="38"/>
    </row>
    <row r="466" spans="2:3" ht="15">
      <c r="B466" s="38"/>
      <c r="C466" s="38"/>
    </row>
    <row r="467" spans="2:3" ht="15">
      <c r="B467" s="38"/>
      <c r="C467" s="38"/>
    </row>
    <row r="468" spans="2:3" ht="15">
      <c r="B468" s="38"/>
      <c r="C468" s="38"/>
    </row>
    <row r="469" spans="2:3" ht="15">
      <c r="B469" s="38"/>
      <c r="C469" s="38"/>
    </row>
    <row r="470" spans="2:3" ht="15">
      <c r="B470" s="38"/>
      <c r="C470" s="38"/>
    </row>
    <row r="471" spans="2:3" ht="15">
      <c r="B471" s="38"/>
      <c r="C471" s="38"/>
    </row>
    <row r="472" spans="2:3" ht="15">
      <c r="B472" s="38"/>
      <c r="C472" s="38"/>
    </row>
    <row r="473" spans="2:3" ht="15">
      <c r="B473" s="38"/>
      <c r="C473" s="38"/>
    </row>
    <row r="474" spans="2:3" ht="15">
      <c r="B474" s="38"/>
      <c r="C474" s="38"/>
    </row>
    <row r="475" spans="2:3" ht="15">
      <c r="B475" s="38"/>
      <c r="C475" s="38"/>
    </row>
    <row r="476" spans="2:3" ht="15">
      <c r="B476" s="38"/>
      <c r="C476" s="38"/>
    </row>
    <row r="477" spans="2:3" ht="15">
      <c r="B477" s="38"/>
      <c r="C477" s="38"/>
    </row>
    <row r="478" spans="2:3" ht="15">
      <c r="B478" s="38"/>
      <c r="C478" s="38"/>
    </row>
    <row r="479" spans="2:3" ht="15">
      <c r="B479" s="38"/>
      <c r="C479" s="38"/>
    </row>
    <row r="480" spans="2:3" ht="15">
      <c r="B480" s="38"/>
      <c r="C480" s="38"/>
    </row>
    <row r="481" spans="2:3" ht="15">
      <c r="B481" s="38"/>
      <c r="C481" s="38"/>
    </row>
    <row r="482" spans="2:3" ht="15">
      <c r="B482" s="38"/>
      <c r="C482" s="38"/>
    </row>
    <row r="483" spans="2:3" ht="15">
      <c r="B483" s="38"/>
      <c r="C483" s="38"/>
    </row>
    <row r="484" spans="2:3" ht="15">
      <c r="B484" s="38"/>
      <c r="C484" s="38"/>
    </row>
    <row r="485" spans="2:3" ht="15">
      <c r="B485" s="38"/>
      <c r="C485" s="38"/>
    </row>
    <row r="486" spans="2:3" ht="15">
      <c r="B486" s="38"/>
      <c r="C486" s="38"/>
    </row>
    <row r="487" spans="2:3" ht="15">
      <c r="B487" s="38"/>
      <c r="C487" s="38"/>
    </row>
    <row r="488" spans="2:3" ht="15">
      <c r="B488" s="38"/>
      <c r="C488" s="38"/>
    </row>
    <row r="489" spans="2:3" ht="15">
      <c r="B489" s="38"/>
      <c r="C489" s="38"/>
    </row>
    <row r="490" spans="2:3" ht="15">
      <c r="B490" s="38"/>
      <c r="C490" s="38"/>
    </row>
    <row r="491" spans="2:3" ht="15">
      <c r="B491" s="38"/>
      <c r="C491" s="38"/>
    </row>
    <row r="492" spans="2:3" ht="15">
      <c r="B492" s="38"/>
      <c r="C492" s="38"/>
    </row>
    <row r="493" spans="2:3" ht="15">
      <c r="B493" s="38"/>
      <c r="C493" s="38"/>
    </row>
    <row r="494" spans="2:3" ht="15">
      <c r="B494" s="38"/>
      <c r="C494" s="38"/>
    </row>
    <row r="495" spans="2:3" ht="15">
      <c r="B495" s="38"/>
      <c r="C495" s="38"/>
    </row>
    <row r="496" spans="2:3" ht="15">
      <c r="B496" s="38"/>
      <c r="C496" s="38"/>
    </row>
    <row r="497" spans="2:3" ht="15">
      <c r="B497" s="38"/>
      <c r="C497" s="38"/>
    </row>
    <row r="498" spans="2:3" ht="15">
      <c r="B498" s="38"/>
      <c r="C498" s="38"/>
    </row>
    <row r="499" spans="2:3" ht="15">
      <c r="B499" s="38"/>
      <c r="C499" s="38"/>
    </row>
    <row r="500" spans="2:3" ht="15">
      <c r="B500" s="38"/>
      <c r="C500" s="38"/>
    </row>
    <row r="501" spans="2:3" ht="15">
      <c r="B501" s="38"/>
      <c r="C501" s="38"/>
    </row>
    <row r="502" spans="2:3" ht="15">
      <c r="B502" s="38"/>
      <c r="C502" s="38"/>
    </row>
    <row r="503" spans="2:3" ht="15">
      <c r="B503" s="38"/>
      <c r="C503" s="38"/>
    </row>
    <row r="504" spans="2:3" ht="15">
      <c r="B504" s="38"/>
      <c r="C504" s="38"/>
    </row>
    <row r="505" spans="2:3" ht="15">
      <c r="B505" s="38"/>
      <c r="C505" s="38"/>
    </row>
    <row r="506" spans="2:3" ht="15">
      <c r="B506" s="38"/>
      <c r="C506" s="38"/>
    </row>
    <row r="507" spans="2:3" ht="15">
      <c r="B507" s="38"/>
      <c r="C507" s="38"/>
    </row>
    <row r="508" spans="2:3" ht="15">
      <c r="B508" s="38"/>
      <c r="C508" s="38"/>
    </row>
    <row r="509" spans="2:3" ht="15">
      <c r="B509" s="38"/>
      <c r="C509" s="38"/>
    </row>
  </sheetData>
  <sheetProtection password="CFC9" sheet="1" objects="1" scenarios="1"/>
  <mergeCells count="12">
    <mergeCell ref="B21:C21"/>
    <mergeCell ref="B22:C22"/>
    <mergeCell ref="E21:F21"/>
    <mergeCell ref="H14:L15"/>
    <mergeCell ref="E18:F18"/>
    <mergeCell ref="B5:C5"/>
    <mergeCell ref="E5:F5"/>
    <mergeCell ref="B11:F11"/>
    <mergeCell ref="B12:C12"/>
    <mergeCell ref="E12:F12"/>
    <mergeCell ref="B13:C13"/>
    <mergeCell ref="E13:F13"/>
  </mergeCell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/>
  <dimension ref="A1:L509"/>
  <sheetViews>
    <sheetView showGridLines="0" zoomScale="85" zoomScaleNormal="85" zoomScalePageLayoutView="0" workbookViewId="0" topLeftCell="A1">
      <selection activeCell="E1" sqref="E1"/>
    </sheetView>
  </sheetViews>
  <sheetFormatPr defaultColWidth="9.140625" defaultRowHeight="15"/>
  <cols>
    <col min="1" max="1" width="6.140625" style="0" customWidth="1"/>
    <col min="2" max="2" width="50.7109375" style="0" customWidth="1"/>
    <col min="3" max="3" width="27.421875" style="0" customWidth="1"/>
    <col min="4" max="4" width="5.57421875" style="0" customWidth="1"/>
    <col min="5" max="5" width="52.00390625" style="0" customWidth="1"/>
    <col min="6" max="6" width="20.7109375" style="0" customWidth="1"/>
    <col min="8" max="12" width="10.57421875" style="0" customWidth="1"/>
  </cols>
  <sheetData>
    <row r="1" spans="2:3" ht="18.75">
      <c r="B1" s="85" t="str">
        <f>"Country Name:         "&amp;Scrap!B15</f>
        <v>Country Name:         </v>
      </c>
      <c r="C1" s="3"/>
    </row>
    <row r="2" spans="2:3" ht="18.75">
      <c r="B2" s="86" t="str">
        <f>"EU Name:                   "&amp;Scrap!B16</f>
        <v>EU Name:                   </v>
      </c>
      <c r="C2" s="3"/>
    </row>
    <row r="3" spans="2:3" ht="18.75">
      <c r="B3" s="86" t="str">
        <f>"Primary LF Vector:   "&amp;Scrap!B17</f>
        <v>Primary LF Vector:   </v>
      </c>
      <c r="C3" s="15"/>
    </row>
    <row r="4" ht="17.25" customHeight="1"/>
    <row r="5" spans="2:6" ht="21.75" customHeight="1">
      <c r="B5" s="166" t="s">
        <v>73</v>
      </c>
      <c r="C5" s="166"/>
      <c r="E5" s="167" t="s">
        <v>74</v>
      </c>
      <c r="F5" s="167"/>
    </row>
    <row r="6" spans="2:6" s="87" customFormat="1" ht="32.25" customHeight="1">
      <c r="B6" s="102" t="str">
        <f>'Start Here'!C6</f>
        <v>Target population </v>
      </c>
      <c r="C6" s="91">
        <f>'Start Here'!D6</f>
        <v>0</v>
      </c>
      <c r="D6" s="115"/>
      <c r="E6" s="102" t="str">
        <f>'Start Here'!F6</f>
        <v>Target population </v>
      </c>
      <c r="F6" s="91" t="str">
        <f>IF('Start Here'!G6="","NA",'Start Here'!G6)</f>
        <v>NA</v>
      </c>
    </row>
    <row r="7" spans="2:6" s="87" customFormat="1" ht="32.25" customHeight="1">
      <c r="B7" s="103" t="str">
        <f>'Start Here'!C7</f>
        <v>Number of children in target population</v>
      </c>
      <c r="C7" s="104">
        <f>'Start Here'!D7</f>
        <v>0</v>
      </c>
      <c r="D7" s="115"/>
      <c r="E7" s="103" t="str">
        <f>'Start Here'!F7</f>
        <v>Number of children in target population</v>
      </c>
      <c r="F7" s="91" t="str">
        <f>IF('Start Here'!G7="","NA",'Start Here'!G7)</f>
        <v>NA</v>
      </c>
    </row>
    <row r="8" spans="2:6" s="87" customFormat="1" ht="32.25" customHeight="1">
      <c r="B8" s="105" t="str">
        <f>'Start Here'!C8</f>
        <v>Number of primary schools in the EU</v>
      </c>
      <c r="C8" s="106">
        <f>'Start Here'!D8</f>
        <v>0</v>
      </c>
      <c r="D8" s="115"/>
      <c r="E8" s="105" t="str">
        <f>'Start Here'!F8</f>
        <v>Number of primary schools in the EU</v>
      </c>
      <c r="F8" s="91" t="str">
        <f>IF('Start Here'!G8="","NA",'Start Here'!G8)</f>
        <v>NA</v>
      </c>
    </row>
    <row r="9" spans="2:6" s="87" customFormat="1" ht="32.25" customHeight="1">
      <c r="B9" s="103" t="str">
        <f>'Start Here'!C9</f>
        <v>Predicted LF non-response rate</v>
      </c>
      <c r="C9" s="107">
        <f>'Start Here'!D9</f>
        <v>0</v>
      </c>
      <c r="D9" s="115"/>
      <c r="E9" s="103" t="str">
        <f>'Start Here'!F9</f>
        <v>Predicted STH non-response rate</v>
      </c>
      <c r="F9" s="141" t="str">
        <f>IF('Start Here'!G9="","NA",'Start Here'!G9)</f>
        <v>NA</v>
      </c>
    </row>
    <row r="10" spans="2:6" s="87" customFormat="1" ht="32.25" customHeight="1">
      <c r="B10" s="102" t="s">
        <v>119</v>
      </c>
      <c r="C10" s="108" t="e">
        <f>ROUNDDOWN(C7/C8,0)</f>
        <v>#DIV/0!</v>
      </c>
      <c r="D10" s="115"/>
      <c r="E10" s="102" t="s">
        <v>119</v>
      </c>
      <c r="F10" s="108" t="str">
        <f>IF(F9="NA","NA",ROUNDDOWN(F7/F8,0))</f>
        <v>NA</v>
      </c>
    </row>
    <row r="11" spans="2:6" ht="42.75" customHeight="1">
      <c r="B11" s="168" t="s">
        <v>41</v>
      </c>
      <c r="C11" s="168"/>
      <c r="D11" s="168"/>
      <c r="E11" s="168"/>
      <c r="F11" s="168"/>
    </row>
    <row r="12" spans="2:6" ht="39.75" customHeight="1">
      <c r="B12" s="179" t="str">
        <f>"Household Cluster Sample Survey of  "&amp;C6</f>
        <v>Household Cluster Sample Survey of  0</v>
      </c>
      <c r="C12" s="179"/>
      <c r="D12" s="84"/>
      <c r="E12" s="180" t="str">
        <f>IF(F6="NA","NA",("Household Cluster Sample Survey of "&amp;F6))</f>
        <v>NA</v>
      </c>
      <c r="F12" s="180"/>
    </row>
    <row r="13" spans="2:6" ht="19.5" customHeight="1">
      <c r="B13" s="171" t="s">
        <v>75</v>
      </c>
      <c r="C13" s="171"/>
      <c r="E13" s="171" t="s">
        <v>75</v>
      </c>
      <c r="F13" s="171"/>
    </row>
    <row r="14" spans="2:6" s="88" customFormat="1" ht="48.75" customHeight="1">
      <c r="B14" s="112" t="str">
        <f>"Sample Size for Cluster Design"</f>
        <v>Sample Size for Cluster Design</v>
      </c>
      <c r="C14" s="109" t="str">
        <f>IF(Scrap!B17="Aedes",VLOOKUP(C7,'Critical Values'!B27:I47,6,TRUE),(IF(Scrap!B17="Anopheles, Culex, or Mansonia",VLOOKUP(C7,'Critical Values'!B2:I26,6,TRUE),"Please go back to 'Start Here' and double check all data fields for completeness")))</f>
        <v>Please go back to 'Start Here' and double check all data fields for completeness</v>
      </c>
      <c r="D14" s="116"/>
      <c r="E14" s="102" t="str">
        <f>"Sample Size for Cluster Design"</f>
        <v>Sample Size for Cluster Design</v>
      </c>
      <c r="F14" s="109" t="str">
        <f>IF(F6="NA","NA",332)</f>
        <v>NA</v>
      </c>
    </row>
    <row r="15" spans="2:12" s="88" customFormat="1" ht="32.25" customHeight="1">
      <c r="B15" s="113" t="s">
        <v>76</v>
      </c>
      <c r="C15" s="109" t="e">
        <f>IF((ROUNDUP((C14/(1-C9)),0)/C10)&lt;30,30,ROUNDUP((ROUNDUP((C14/(1-C9)),0)/C10),0))</f>
        <v>#VALUE!</v>
      </c>
      <c r="D15" s="117"/>
      <c r="E15" s="110" t="s">
        <v>79</v>
      </c>
      <c r="F15" s="109" t="str">
        <f>IF(F9="NA","NA",C15)</f>
        <v>NA</v>
      </c>
      <c r="H15" s="182" t="s">
        <v>103</v>
      </c>
      <c r="I15" s="183"/>
      <c r="J15" s="183"/>
      <c r="K15" s="183"/>
      <c r="L15" s="184"/>
    </row>
    <row r="16" spans="2:12" s="88" customFormat="1" ht="32.25" customHeight="1">
      <c r="B16" s="112" t="s">
        <v>117</v>
      </c>
      <c r="C16" s="111" t="e">
        <f>IF(C15&gt;30,"Test all children in the target age group",((ROUND((C14/(1-'Start Here'!D9)),0)/C10)/30))</f>
        <v>#VALUE!</v>
      </c>
      <c r="D16" s="117"/>
      <c r="E16" s="102" t="s">
        <v>120</v>
      </c>
      <c r="F16" s="111" t="str">
        <f>IF(F6="NA","NA",(IF(ROUNDUP((F14/(1-F9)),0)/F10/F15&gt;1,"Test all children in target age group",ROUNDUP((F14/(1-F9)),0)/F10/C15)))</f>
        <v>NA</v>
      </c>
      <c r="H16" s="97" t="s">
        <v>101</v>
      </c>
      <c r="I16" s="97" t="s">
        <v>98</v>
      </c>
      <c r="J16" s="97" t="s">
        <v>99</v>
      </c>
      <c r="K16" s="97" t="s">
        <v>100</v>
      </c>
      <c r="L16" s="98" t="s">
        <v>93</v>
      </c>
    </row>
    <row r="17" spans="2:12" s="88" customFormat="1" ht="32.25" customHeight="1">
      <c r="B17" s="112" t="s">
        <v>118</v>
      </c>
      <c r="C17" s="111" t="e">
        <f>IF(C16="Test all children in the target age group","N/A",1/C16)</f>
        <v>#VALUE!</v>
      </c>
      <c r="D17" s="117"/>
      <c r="E17" s="102" t="s">
        <v>121</v>
      </c>
      <c r="F17" s="111" t="str">
        <f>IF(F6="NA","NA",(IF(F16="Test all children in the target grade","N/A",1/F16)))</f>
        <v>NA</v>
      </c>
      <c r="H17" s="99" t="e">
        <f>VLOOKUP($F$14,'STH Critical Values'!$C$7:$H$7,2,FALSE)</f>
        <v>#N/A</v>
      </c>
      <c r="I17" s="99" t="e">
        <f>VLOOKUP($F$14,'STH Critical Values'!$C$7:$H$7,3,FALSE)</f>
        <v>#N/A</v>
      </c>
      <c r="J17" s="99" t="e">
        <f>VLOOKUP($F$14,'STH Critical Values'!$C$7:$H$7,4,FALSE)</f>
        <v>#N/A</v>
      </c>
      <c r="K17" s="99" t="e">
        <f>VLOOKUP($F$14,'STH Critical Values'!$C$7:$H$7,5,FALSE)</f>
        <v>#N/A</v>
      </c>
      <c r="L17" s="99" t="e">
        <f>VLOOKUP($F$14,'STH Critical Values'!$C$7:$H$7,6,FALSE)</f>
        <v>#N/A</v>
      </c>
    </row>
    <row r="18" spans="2:6" s="88" customFormat="1" ht="32.25" customHeight="1">
      <c r="B18" s="112" t="s">
        <v>106</v>
      </c>
      <c r="C18" s="109" t="e">
        <f>VLOOKUP(C14,'Critical Values'!G:I,3,FALSE)</f>
        <v>#N/A</v>
      </c>
      <c r="D18" s="117"/>
      <c r="E18" s="177" t="s">
        <v>102</v>
      </c>
      <c r="F18" s="178"/>
    </row>
    <row r="19" spans="1:5" ht="18" customHeight="1">
      <c r="A19" s="60" t="s">
        <v>34</v>
      </c>
      <c r="B19" s="3" t="str">
        <f>"Based on a "&amp;C9*100&amp;"% absentee rate"</f>
        <v>Based on a 0% absentee rate</v>
      </c>
      <c r="D19" s="90">
        <v>2</v>
      </c>
      <c r="E19" s="3">
        <f>IF(F9="NA","","Based on a "&amp;F9*100&amp;"% absentee rate")</f>
      </c>
    </row>
    <row r="20" spans="1:2" s="38" customFormat="1" ht="75.75" customHeight="1">
      <c r="A20" s="37"/>
      <c r="B20" s="37"/>
    </row>
    <row r="21" spans="2:6" ht="31.5" customHeight="1">
      <c r="B21" s="181" t="e">
        <f>IF(C15&gt;30,"","Lists corresponding to the HH's selected for sampling in each selected EA. Within each selected HH all children 6-7 yrs should be tested.")</f>
        <v>#VALUE!</v>
      </c>
      <c r="C21" s="181"/>
      <c r="E21" s="174">
        <f>IF(F6="NA","",(IF(AND(C15=30,C6=F6),"","Lists corresponding to the HH's selected for sampling in each selected EA.  Within each selected HH all children 6-7 yrs should be tested")))</f>
      </c>
      <c r="F21" s="174"/>
    </row>
    <row r="22" spans="2:3" ht="28.5" customHeight="1">
      <c r="B22" s="173" t="e">
        <f>IF(AND(C6=F6,C15=30),"Note: the numbers with the ' * ' next to them correspond to children who should be sampled for both TAS and STH","")</f>
        <v>#VALUE!</v>
      </c>
      <c r="C22" s="173"/>
    </row>
    <row r="23" spans="2:5" ht="15.75">
      <c r="B23" s="131" t="e">
        <f>IF(AND(C6=F6,C15=30),"TAS/STH List A",IF(C15&gt;30,"","TAS List A"))</f>
        <v>#VALUE!</v>
      </c>
      <c r="C23" s="131" t="e">
        <f>IF(AND(C6=F6,C15=30),"TAS/STH List B",IF(C15&gt;30,"","TAS List B"))</f>
        <v>#VALUE!</v>
      </c>
      <c r="E23" s="133"/>
    </row>
    <row r="325" spans="2:6" s="38" customFormat="1" ht="15">
      <c r="B325" s="101" t="s">
        <v>116</v>
      </c>
      <c r="C325" s="101"/>
      <c r="D325" s="51"/>
      <c r="E325" s="51"/>
      <c r="F325" s="51"/>
    </row>
    <row r="326" spans="2:6" s="38" customFormat="1" ht="15">
      <c r="B326" s="101" t="s">
        <v>124</v>
      </c>
      <c r="C326" s="101"/>
      <c r="D326" s="51"/>
      <c r="E326" s="51"/>
      <c r="F326" s="51"/>
    </row>
    <row r="327" spans="2:6" s="38" customFormat="1" ht="15">
      <c r="B327" s="101"/>
      <c r="C327" s="101" t="s">
        <v>116</v>
      </c>
      <c r="D327" s="51"/>
      <c r="E327" s="51"/>
      <c r="F327" s="51"/>
    </row>
    <row r="328" spans="2:6" s="38" customFormat="1" ht="15">
      <c r="B328" s="101"/>
      <c r="C328" s="101"/>
      <c r="D328" s="51"/>
      <c r="E328" s="51"/>
      <c r="F328" s="51"/>
    </row>
    <row r="329" spans="2:6" s="38" customFormat="1" ht="15">
      <c r="B329" s="101"/>
      <c r="C329" s="101"/>
      <c r="D329" s="51"/>
      <c r="E329" s="51"/>
      <c r="F329" s="51"/>
    </row>
    <row r="330" spans="2:6" s="38" customFormat="1" ht="15">
      <c r="B330" s="101"/>
      <c r="C330" s="101"/>
      <c r="D330" s="51"/>
      <c r="E330" s="51"/>
      <c r="F330" s="51"/>
    </row>
    <row r="331" spans="2:6" s="38" customFormat="1" ht="15">
      <c r="B331" s="101"/>
      <c r="C331" s="101"/>
      <c r="D331" s="51"/>
      <c r="E331" s="51"/>
      <c r="F331" s="51"/>
    </row>
    <row r="332" spans="2:6" s="38" customFormat="1" ht="15">
      <c r="B332" s="101"/>
      <c r="C332" s="101" t="s">
        <v>116</v>
      </c>
      <c r="D332" s="51"/>
      <c r="E332" s="51"/>
      <c r="F332" s="51"/>
    </row>
    <row r="333" spans="2:6" s="38" customFormat="1" ht="15">
      <c r="B333" s="101"/>
      <c r="C333" s="101"/>
      <c r="D333" s="51"/>
      <c r="E333" s="51"/>
      <c r="F333" s="51"/>
    </row>
    <row r="334" spans="2:6" s="38" customFormat="1" ht="15">
      <c r="B334" s="101"/>
      <c r="C334" s="101"/>
      <c r="D334" s="51"/>
      <c r="E334" s="51"/>
      <c r="F334" s="51"/>
    </row>
    <row r="335" spans="2:6" s="38" customFormat="1" ht="15">
      <c r="B335" s="101"/>
      <c r="C335" s="101"/>
      <c r="D335" s="51"/>
      <c r="E335" s="51"/>
      <c r="F335" s="51"/>
    </row>
    <row r="336" spans="2:6" s="38" customFormat="1" ht="15">
      <c r="B336" s="101"/>
      <c r="C336" s="101"/>
      <c r="D336" s="51"/>
      <c r="E336" s="51"/>
      <c r="F336" s="51"/>
    </row>
    <row r="337" spans="2:6" s="38" customFormat="1" ht="15">
      <c r="B337" s="101"/>
      <c r="C337" s="101"/>
      <c r="D337" s="51"/>
      <c r="E337" s="51"/>
      <c r="F337" s="51"/>
    </row>
    <row r="338" spans="2:6" s="38" customFormat="1" ht="15">
      <c r="B338" s="101"/>
      <c r="C338" s="101"/>
      <c r="D338" s="51"/>
      <c r="E338" s="51"/>
      <c r="F338" s="51"/>
    </row>
    <row r="339" spans="2:6" s="38" customFormat="1" ht="15">
      <c r="B339" s="101"/>
      <c r="C339" s="101"/>
      <c r="D339" s="51"/>
      <c r="E339" s="51"/>
      <c r="F339" s="51"/>
    </row>
    <row r="340" spans="2:6" s="38" customFormat="1" ht="15">
      <c r="B340" s="101"/>
      <c r="C340" s="101"/>
      <c r="D340" s="51"/>
      <c r="E340" s="51"/>
      <c r="F340" s="51"/>
    </row>
    <row r="341" spans="2:6" s="38" customFormat="1" ht="15">
      <c r="B341" s="101"/>
      <c r="C341" s="101"/>
      <c r="D341" s="51"/>
      <c r="E341" s="51"/>
      <c r="F341" s="51"/>
    </row>
    <row r="342" spans="2:6" s="38" customFormat="1" ht="15">
      <c r="B342" s="101"/>
      <c r="C342" s="101"/>
      <c r="D342" s="51"/>
      <c r="E342" s="51"/>
      <c r="F342" s="51"/>
    </row>
    <row r="343" spans="2:6" s="38" customFormat="1" ht="15">
      <c r="B343" s="101"/>
      <c r="C343" s="101"/>
      <c r="D343" s="51"/>
      <c r="E343" s="51"/>
      <c r="F343" s="51"/>
    </row>
    <row r="344" spans="2:6" s="38" customFormat="1" ht="15">
      <c r="B344" s="101"/>
      <c r="C344" s="101"/>
      <c r="D344" s="51"/>
      <c r="E344" s="51"/>
      <c r="F344" s="51"/>
    </row>
    <row r="345" spans="2:6" s="38" customFormat="1" ht="15">
      <c r="B345" s="101"/>
      <c r="C345" s="101"/>
      <c r="D345" s="51"/>
      <c r="E345" s="51"/>
      <c r="F345" s="51"/>
    </row>
    <row r="346" spans="2:6" s="38" customFormat="1" ht="15">
      <c r="B346" s="51"/>
      <c r="C346" s="51"/>
      <c r="D346" s="51"/>
      <c r="E346" s="51"/>
      <c r="F346" s="51"/>
    </row>
    <row r="347" spans="2:6" s="38" customFormat="1" ht="15">
      <c r="B347" s="51"/>
      <c r="C347" s="51"/>
      <c r="D347" s="51"/>
      <c r="E347" s="51"/>
      <c r="F347" s="51"/>
    </row>
    <row r="348" spans="2:6" s="38" customFormat="1" ht="15">
      <c r="B348" s="51"/>
      <c r="C348" s="51"/>
      <c r="D348" s="51"/>
      <c r="E348" s="51"/>
      <c r="F348" s="51"/>
    </row>
    <row r="349" spans="2:6" s="38" customFormat="1" ht="15">
      <c r="B349" s="51"/>
      <c r="C349" s="51"/>
      <c r="D349" s="51"/>
      <c r="E349" s="51"/>
      <c r="F349" s="51"/>
    </row>
    <row r="350" spans="2:6" s="38" customFormat="1" ht="15">
      <c r="B350" s="51"/>
      <c r="C350" s="51"/>
      <c r="D350" s="51"/>
      <c r="E350" s="51"/>
      <c r="F350" s="51"/>
    </row>
    <row r="351" spans="2:6" s="38" customFormat="1" ht="15">
      <c r="B351" s="51"/>
      <c r="C351" s="51"/>
      <c r="D351" s="51"/>
      <c r="E351" s="51"/>
      <c r="F351" s="51"/>
    </row>
    <row r="352" spans="2:6" s="38" customFormat="1" ht="15">
      <c r="B352" s="51"/>
      <c r="C352" s="51"/>
      <c r="D352" s="51"/>
      <c r="E352" s="51"/>
      <c r="F352" s="51"/>
    </row>
    <row r="353" spans="2:6" s="38" customFormat="1" ht="15">
      <c r="B353" s="51"/>
      <c r="C353" s="51"/>
      <c r="D353" s="51"/>
      <c r="E353" s="51"/>
      <c r="F353" s="51"/>
    </row>
    <row r="354" spans="2:6" s="38" customFormat="1" ht="15">
      <c r="B354" s="51"/>
      <c r="C354" s="51"/>
      <c r="D354" s="51"/>
      <c r="E354" s="51"/>
      <c r="F354" s="51"/>
    </row>
    <row r="355" spans="2:6" s="38" customFormat="1" ht="15">
      <c r="B355" s="51"/>
      <c r="C355" s="51"/>
      <c r="D355" s="51"/>
      <c r="E355" s="51"/>
      <c r="F355" s="51"/>
    </row>
    <row r="356" s="38" customFormat="1" ht="15"/>
    <row r="357" s="38" customFormat="1" ht="15"/>
    <row r="358" s="38" customFormat="1" ht="15"/>
    <row r="359" s="38" customFormat="1" ht="15"/>
    <row r="360" s="38" customFormat="1" ht="15"/>
    <row r="361" s="38" customFormat="1" ht="15"/>
    <row r="362" s="38" customFormat="1" ht="15"/>
    <row r="363" s="38" customFormat="1" ht="15"/>
    <row r="364" s="38" customFormat="1" ht="15"/>
    <row r="365" s="38" customFormat="1" ht="15"/>
    <row r="366" s="38" customFormat="1" ht="15"/>
    <row r="367" s="38" customFormat="1" ht="15"/>
    <row r="368" s="38" customFormat="1" ht="15"/>
    <row r="369" s="38" customFormat="1" ht="15"/>
    <row r="370" s="38" customFormat="1" ht="15"/>
    <row r="371" s="38" customFormat="1" ht="15"/>
    <row r="372" s="38" customFormat="1" ht="15"/>
    <row r="373" s="38" customFormat="1" ht="15"/>
    <row r="374" s="38" customFormat="1" ht="15"/>
    <row r="375" s="38" customFormat="1" ht="15"/>
    <row r="376" s="38" customFormat="1" ht="15"/>
    <row r="377" s="38" customFormat="1" ht="15"/>
    <row r="378" s="38" customFormat="1" ht="15"/>
    <row r="379" s="38" customFormat="1" ht="15"/>
    <row r="380" s="38" customFormat="1" ht="15"/>
    <row r="381" s="38" customFormat="1" ht="15"/>
    <row r="382" s="38" customFormat="1" ht="15"/>
    <row r="383" s="38" customFormat="1" ht="15"/>
    <row r="384" s="38" customFormat="1" ht="15"/>
    <row r="385" s="38" customFormat="1" ht="15"/>
    <row r="386" s="38" customFormat="1" ht="15"/>
    <row r="387" s="38" customFormat="1" ht="15"/>
    <row r="388" s="38" customFormat="1" ht="15"/>
    <row r="389" s="38" customFormat="1" ht="15"/>
    <row r="390" s="38" customFormat="1" ht="15"/>
    <row r="391" s="38" customFormat="1" ht="15"/>
    <row r="392" s="38" customFormat="1" ht="15"/>
    <row r="393" s="38" customFormat="1" ht="15"/>
    <row r="394" s="38" customFormat="1" ht="15"/>
    <row r="395" s="38" customFormat="1" ht="15"/>
    <row r="396" s="38" customFormat="1" ht="15"/>
    <row r="397" s="38" customFormat="1" ht="15"/>
    <row r="398" s="38" customFormat="1" ht="15"/>
    <row r="399" s="38" customFormat="1" ht="15"/>
    <row r="400" s="38" customFormat="1" ht="15"/>
    <row r="401" s="38" customFormat="1" ht="15"/>
    <row r="402" s="38" customFormat="1" ht="15"/>
    <row r="403" s="38" customFormat="1" ht="15"/>
    <row r="404" s="38" customFormat="1" ht="15"/>
    <row r="405" s="38" customFormat="1" ht="15"/>
    <row r="406" s="38" customFormat="1" ht="15"/>
    <row r="407" s="38" customFormat="1" ht="15"/>
    <row r="408" s="38" customFormat="1" ht="15"/>
    <row r="409" s="38" customFormat="1" ht="15"/>
    <row r="410" s="38" customFormat="1" ht="15"/>
    <row r="411" s="38" customFormat="1" ht="15"/>
    <row r="412" s="38" customFormat="1" ht="15"/>
    <row r="413" s="38" customFormat="1" ht="15"/>
    <row r="414" s="38" customFormat="1" ht="15"/>
    <row r="415" s="38" customFormat="1" ht="15"/>
    <row r="416" s="38" customFormat="1" ht="15"/>
    <row r="417" s="38" customFormat="1" ht="15"/>
    <row r="418" s="38" customFormat="1" ht="15"/>
    <row r="419" s="38" customFormat="1" ht="15"/>
    <row r="420" s="38" customFormat="1" ht="15"/>
    <row r="421" s="38" customFormat="1" ht="15"/>
    <row r="422" s="38" customFormat="1" ht="15"/>
    <row r="423" s="38" customFormat="1" ht="15"/>
    <row r="424" s="38" customFormat="1" ht="15"/>
    <row r="425" s="38" customFormat="1" ht="15"/>
    <row r="426" s="38" customFormat="1" ht="15"/>
    <row r="427" s="38" customFormat="1" ht="15"/>
    <row r="428" s="38" customFormat="1" ht="15"/>
    <row r="429" s="38" customFormat="1" ht="15"/>
    <row r="430" s="38" customFormat="1" ht="15"/>
    <row r="431" spans="2:3" ht="15">
      <c r="B431" s="38"/>
      <c r="C431" s="38"/>
    </row>
    <row r="432" spans="2:3" ht="15">
      <c r="B432" s="38"/>
      <c r="C432" s="38"/>
    </row>
    <row r="433" spans="2:3" ht="15">
      <c r="B433" s="38"/>
      <c r="C433" s="38"/>
    </row>
    <row r="434" spans="2:3" ht="15">
      <c r="B434" s="38"/>
      <c r="C434" s="38"/>
    </row>
    <row r="435" spans="2:3" ht="15">
      <c r="B435" s="38"/>
      <c r="C435" s="38"/>
    </row>
    <row r="436" spans="2:3" ht="15">
      <c r="B436" s="38"/>
      <c r="C436" s="38"/>
    </row>
    <row r="437" spans="2:3" ht="15">
      <c r="B437" s="38"/>
      <c r="C437" s="38"/>
    </row>
    <row r="438" spans="2:3" ht="15">
      <c r="B438" s="38"/>
      <c r="C438" s="38"/>
    </row>
    <row r="439" spans="2:3" ht="15">
      <c r="B439" s="38"/>
      <c r="C439" s="38"/>
    </row>
    <row r="440" spans="2:3" ht="15">
      <c r="B440" s="38"/>
      <c r="C440" s="38"/>
    </row>
    <row r="441" spans="2:3" ht="15">
      <c r="B441" s="38"/>
      <c r="C441" s="38"/>
    </row>
    <row r="442" spans="2:3" ht="15">
      <c r="B442" s="38"/>
      <c r="C442" s="38"/>
    </row>
    <row r="443" spans="2:3" ht="15">
      <c r="B443" s="38"/>
      <c r="C443" s="38"/>
    </row>
    <row r="444" spans="2:3" ht="15">
      <c r="B444" s="38"/>
      <c r="C444" s="38"/>
    </row>
    <row r="445" spans="2:3" ht="15">
      <c r="B445" s="38"/>
      <c r="C445" s="38"/>
    </row>
    <row r="446" spans="2:3" ht="15">
      <c r="B446" s="38"/>
      <c r="C446" s="38"/>
    </row>
    <row r="447" spans="2:3" ht="15">
      <c r="B447" s="38"/>
      <c r="C447" s="38"/>
    </row>
    <row r="448" spans="2:3" ht="15">
      <c r="B448" s="38"/>
      <c r="C448" s="38"/>
    </row>
    <row r="449" spans="2:3" ht="15">
      <c r="B449" s="38"/>
      <c r="C449" s="38"/>
    </row>
    <row r="450" spans="2:3" ht="15">
      <c r="B450" s="38"/>
      <c r="C450" s="38"/>
    </row>
    <row r="451" spans="2:3" ht="15">
      <c r="B451" s="38"/>
      <c r="C451" s="38"/>
    </row>
    <row r="452" spans="2:3" ht="15">
      <c r="B452" s="38"/>
      <c r="C452" s="38"/>
    </row>
    <row r="453" spans="2:3" ht="15">
      <c r="B453" s="38"/>
      <c r="C453" s="38"/>
    </row>
    <row r="454" spans="2:3" ht="15">
      <c r="B454" s="38"/>
      <c r="C454" s="38"/>
    </row>
    <row r="455" spans="2:3" ht="15">
      <c r="B455" s="38"/>
      <c r="C455" s="38"/>
    </row>
    <row r="456" spans="2:3" ht="15">
      <c r="B456" s="38"/>
      <c r="C456" s="38"/>
    </row>
    <row r="457" spans="2:3" ht="15">
      <c r="B457" s="38"/>
      <c r="C457" s="38"/>
    </row>
    <row r="458" spans="2:3" ht="15">
      <c r="B458" s="38"/>
      <c r="C458" s="38"/>
    </row>
    <row r="459" spans="2:3" ht="15">
      <c r="B459" s="38"/>
      <c r="C459" s="38"/>
    </row>
    <row r="460" spans="2:3" ht="15">
      <c r="B460" s="38"/>
      <c r="C460" s="38"/>
    </row>
    <row r="461" spans="2:3" ht="15">
      <c r="B461" s="38"/>
      <c r="C461" s="38"/>
    </row>
    <row r="462" spans="2:3" ht="15">
      <c r="B462" s="38"/>
      <c r="C462" s="38"/>
    </row>
    <row r="463" spans="2:3" ht="15">
      <c r="B463" s="38"/>
      <c r="C463" s="38"/>
    </row>
    <row r="464" spans="2:3" ht="15">
      <c r="B464" s="38"/>
      <c r="C464" s="38"/>
    </row>
    <row r="465" spans="2:3" ht="15">
      <c r="B465" s="38"/>
      <c r="C465" s="38"/>
    </row>
    <row r="466" spans="2:3" ht="15">
      <c r="B466" s="38"/>
      <c r="C466" s="38"/>
    </row>
    <row r="467" spans="2:3" ht="15">
      <c r="B467" s="38"/>
      <c r="C467" s="38"/>
    </row>
    <row r="468" spans="2:3" ht="15">
      <c r="B468" s="38"/>
      <c r="C468" s="38"/>
    </row>
    <row r="469" spans="2:3" ht="15">
      <c r="B469" s="38"/>
      <c r="C469" s="38"/>
    </row>
    <row r="470" spans="2:3" ht="15">
      <c r="B470" s="38"/>
      <c r="C470" s="38"/>
    </row>
    <row r="471" spans="2:3" ht="15">
      <c r="B471" s="38"/>
      <c r="C471" s="38"/>
    </row>
    <row r="472" spans="2:3" ht="15">
      <c r="B472" s="38"/>
      <c r="C472" s="38"/>
    </row>
    <row r="473" spans="2:3" ht="15">
      <c r="B473" s="38"/>
      <c r="C473" s="38"/>
    </row>
    <row r="474" spans="2:3" ht="15">
      <c r="B474" s="38"/>
      <c r="C474" s="38"/>
    </row>
    <row r="475" spans="2:3" ht="15">
      <c r="B475" s="38"/>
      <c r="C475" s="38"/>
    </row>
    <row r="476" spans="2:3" ht="15">
      <c r="B476" s="38"/>
      <c r="C476" s="38"/>
    </row>
    <row r="477" spans="2:3" ht="15">
      <c r="B477" s="38"/>
      <c r="C477" s="38"/>
    </row>
    <row r="478" spans="2:3" ht="15">
      <c r="B478" s="38"/>
      <c r="C478" s="38"/>
    </row>
    <row r="479" spans="2:3" ht="15">
      <c r="B479" s="38"/>
      <c r="C479" s="38"/>
    </row>
    <row r="480" spans="2:3" ht="15">
      <c r="B480" s="38"/>
      <c r="C480" s="38"/>
    </row>
    <row r="481" spans="2:3" ht="15">
      <c r="B481" s="38"/>
      <c r="C481" s="38"/>
    </row>
    <row r="482" spans="2:3" ht="15">
      <c r="B482" s="38"/>
      <c r="C482" s="38"/>
    </row>
    <row r="483" spans="2:3" ht="15">
      <c r="B483" s="38"/>
      <c r="C483" s="38"/>
    </row>
    <row r="484" spans="2:3" ht="15">
      <c r="B484" s="38"/>
      <c r="C484" s="38"/>
    </row>
    <row r="485" spans="2:3" ht="15">
      <c r="B485" s="38"/>
      <c r="C485" s="38"/>
    </row>
    <row r="486" spans="2:3" ht="15">
      <c r="B486" s="38"/>
      <c r="C486" s="38"/>
    </row>
    <row r="487" spans="2:3" ht="15">
      <c r="B487" s="38"/>
      <c r="C487" s="38"/>
    </row>
    <row r="488" spans="2:3" ht="15">
      <c r="B488" s="38"/>
      <c r="C488" s="38"/>
    </row>
    <row r="489" spans="2:3" ht="15">
      <c r="B489" s="38"/>
      <c r="C489" s="38"/>
    </row>
    <row r="490" spans="2:3" ht="15">
      <c r="B490" s="38"/>
      <c r="C490" s="38"/>
    </row>
    <row r="491" spans="2:3" ht="15">
      <c r="B491" s="38"/>
      <c r="C491" s="38"/>
    </row>
    <row r="492" spans="2:3" ht="15">
      <c r="B492" s="38"/>
      <c r="C492" s="38"/>
    </row>
    <row r="493" spans="2:3" ht="15">
      <c r="B493" s="38"/>
      <c r="C493" s="38"/>
    </row>
    <row r="494" spans="2:3" ht="15">
      <c r="B494" s="38"/>
      <c r="C494" s="38"/>
    </row>
    <row r="495" spans="2:3" ht="15">
      <c r="B495" s="38"/>
      <c r="C495" s="38"/>
    </row>
    <row r="496" spans="2:3" ht="15">
      <c r="B496" s="38"/>
      <c r="C496" s="38"/>
    </row>
    <row r="497" spans="2:3" ht="15">
      <c r="B497" s="38"/>
      <c r="C497" s="38"/>
    </row>
    <row r="498" spans="2:3" ht="15">
      <c r="B498" s="38"/>
      <c r="C498" s="38"/>
    </row>
    <row r="499" spans="2:3" ht="15">
      <c r="B499" s="38"/>
      <c r="C499" s="38"/>
    </row>
    <row r="500" spans="2:3" ht="15">
      <c r="B500" s="38"/>
      <c r="C500" s="38"/>
    </row>
    <row r="501" spans="2:3" ht="15">
      <c r="B501" s="38"/>
      <c r="C501" s="38"/>
    </row>
    <row r="502" spans="2:3" ht="15">
      <c r="B502" s="38"/>
      <c r="C502" s="38"/>
    </row>
    <row r="503" spans="2:3" ht="15">
      <c r="B503" s="38"/>
      <c r="C503" s="38"/>
    </row>
    <row r="504" spans="2:3" ht="15">
      <c r="B504" s="38"/>
      <c r="C504" s="38"/>
    </row>
    <row r="505" spans="2:3" ht="15">
      <c r="B505" s="38"/>
      <c r="C505" s="38"/>
    </row>
    <row r="506" spans="2:3" ht="15">
      <c r="B506" s="38"/>
      <c r="C506" s="38"/>
    </row>
    <row r="507" spans="2:3" ht="15">
      <c r="B507" s="38"/>
      <c r="C507" s="38"/>
    </row>
    <row r="508" spans="2:3" ht="15">
      <c r="B508" s="38"/>
      <c r="C508" s="38"/>
    </row>
    <row r="509" spans="2:3" ht="15">
      <c r="B509" s="38"/>
      <c r="C509" s="38"/>
    </row>
  </sheetData>
  <sheetProtection password="CFC9" sheet="1" objects="1" scenarios="1"/>
  <mergeCells count="12">
    <mergeCell ref="B21:C21"/>
    <mergeCell ref="E21:F21"/>
    <mergeCell ref="B22:C22"/>
    <mergeCell ref="H15:L15"/>
    <mergeCell ref="E18:F18"/>
    <mergeCell ref="B5:C5"/>
    <mergeCell ref="E5:F5"/>
    <mergeCell ref="B11:F11"/>
    <mergeCell ref="B12:C12"/>
    <mergeCell ref="E12:F12"/>
    <mergeCell ref="B13:C13"/>
    <mergeCell ref="E13:F13"/>
  </mergeCell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509"/>
  <sheetViews>
    <sheetView showGridLines="0" zoomScalePageLayoutView="0" workbookViewId="0" topLeftCell="A1">
      <selection activeCell="B20" sqref="B20"/>
    </sheetView>
  </sheetViews>
  <sheetFormatPr defaultColWidth="9.140625" defaultRowHeight="15"/>
  <cols>
    <col min="1" max="1" width="6.140625" style="0" customWidth="1"/>
    <col min="2" max="2" width="50.7109375" style="0" customWidth="1"/>
    <col min="3" max="3" width="26.7109375" style="0" customWidth="1"/>
    <col min="4" max="4" width="5.57421875" style="0" customWidth="1"/>
    <col min="5" max="5" width="52.00390625" style="0" customWidth="1"/>
    <col min="6" max="6" width="20.7109375" style="0" customWidth="1"/>
    <col min="8" max="12" width="10.57421875" style="0" customWidth="1"/>
  </cols>
  <sheetData>
    <row r="1" spans="2:3" ht="18.75">
      <c r="B1" s="85" t="str">
        <f>"Country Name:         "&amp;Scrap!B15</f>
        <v>Country Name:         </v>
      </c>
      <c r="C1" s="3"/>
    </row>
    <row r="2" spans="2:3" ht="18.75">
      <c r="B2" s="86" t="str">
        <f>"EU Name:                   "&amp;Scrap!B16</f>
        <v>EU Name:                   </v>
      </c>
      <c r="C2" s="3"/>
    </row>
    <row r="3" spans="2:3" ht="18.75">
      <c r="B3" s="86" t="str">
        <f>"Primary LF Vector:   "&amp;Scrap!B17</f>
        <v>Primary LF Vector:   </v>
      </c>
      <c r="C3" s="15"/>
    </row>
    <row r="4" ht="17.25" customHeight="1"/>
    <row r="5" spans="2:6" ht="21.75" customHeight="1">
      <c r="B5" s="166" t="s">
        <v>73</v>
      </c>
      <c r="C5" s="166"/>
      <c r="E5" s="167" t="s">
        <v>74</v>
      </c>
      <c r="F5" s="167"/>
    </row>
    <row r="6" spans="2:6" s="87" customFormat="1" ht="48" customHeight="1">
      <c r="B6" s="102" t="str">
        <f>'Start Here'!C6</f>
        <v>Target population </v>
      </c>
      <c r="C6" s="91">
        <f>'Start Here'!D6</f>
        <v>0</v>
      </c>
      <c r="E6" s="102" t="str">
        <f>'Start Here'!F6</f>
        <v>Target population </v>
      </c>
      <c r="F6" s="91" t="str">
        <f>IF('Start Here'!G6="","NA",'Start Here'!G6)</f>
        <v>NA</v>
      </c>
    </row>
    <row r="7" spans="2:6" s="87" customFormat="1" ht="32.25" customHeight="1">
      <c r="B7" s="103" t="str">
        <f>'Start Here'!C7</f>
        <v>Number of children in target population</v>
      </c>
      <c r="C7" s="104">
        <f>'Start Here'!D7</f>
        <v>0</v>
      </c>
      <c r="E7" s="103" t="str">
        <f>'Start Here'!F7</f>
        <v>Number of children in target population</v>
      </c>
      <c r="F7" s="91" t="str">
        <f>IF('Start Here'!G7="","NA",'Start Here'!G7)</f>
        <v>NA</v>
      </c>
    </row>
    <row r="8" spans="2:6" s="87" customFormat="1" ht="32.25" customHeight="1">
      <c r="B8" s="105" t="str">
        <f>'Start Here'!C8</f>
        <v>Number of primary schools in the EU</v>
      </c>
      <c r="C8" s="106">
        <f>'Start Here'!D8</f>
        <v>0</v>
      </c>
      <c r="E8" s="105" t="str">
        <f>'Start Here'!F8</f>
        <v>Number of primary schools in the EU</v>
      </c>
      <c r="F8" s="91" t="str">
        <f>IF('Start Here'!G8="","NA",'Start Here'!G8)</f>
        <v>NA</v>
      </c>
    </row>
    <row r="9" spans="2:6" s="87" customFormat="1" ht="32.25" customHeight="1">
      <c r="B9" s="103" t="str">
        <f>'Start Here'!C9</f>
        <v>Predicted LF non-response rate</v>
      </c>
      <c r="C9" s="107">
        <f>'Start Here'!D9</f>
        <v>0</v>
      </c>
      <c r="E9" s="103" t="str">
        <f>'Start Here'!F9</f>
        <v>Predicted STH non-response rate</v>
      </c>
      <c r="F9" s="142" t="str">
        <f>IF('Start Here'!G9="","NA",'Start Here'!G9)</f>
        <v>NA</v>
      </c>
    </row>
    <row r="10" spans="2:6" s="87" customFormat="1" ht="32.25" customHeight="1">
      <c r="B10" s="102" t="s">
        <v>40</v>
      </c>
      <c r="C10" s="108" t="e">
        <f>ROUNDDOWN(C7/C8,0)</f>
        <v>#DIV/0!</v>
      </c>
      <c r="E10" s="102" t="s">
        <v>40</v>
      </c>
      <c r="F10" s="108" t="str">
        <f>IF(F9="NA","NA",ROUNDDOWN(F7/F8,0))</f>
        <v>NA</v>
      </c>
    </row>
    <row r="11" spans="2:6" ht="42.75" customHeight="1">
      <c r="B11" s="168" t="s">
        <v>41</v>
      </c>
      <c r="C11" s="168"/>
      <c r="D11" s="168"/>
      <c r="E11" s="168"/>
      <c r="F11" s="168"/>
    </row>
    <row r="12" spans="2:6" ht="54" customHeight="1">
      <c r="B12" s="169" t="str">
        <f>"School Cluster Sample Survey of  "&amp;C6</f>
        <v>School Cluster Sample Survey of  0</v>
      </c>
      <c r="C12" s="169"/>
      <c r="D12" s="143"/>
      <c r="E12" s="170" t="str">
        <f>IF(F6="NA","NA",("School Cluster Sample Survey of "&amp;F6))</f>
        <v>NA</v>
      </c>
      <c r="F12" s="170"/>
    </row>
    <row r="13" spans="2:6" ht="19.5" customHeight="1">
      <c r="B13" s="171" t="s">
        <v>75</v>
      </c>
      <c r="C13" s="171"/>
      <c r="E13" s="171" t="s">
        <v>75</v>
      </c>
      <c r="F13" s="171"/>
    </row>
    <row r="14" spans="2:6" s="88" customFormat="1" ht="45.75" customHeight="1">
      <c r="B14" s="112" t="str">
        <f>"Sample Size for Cluster Design"</f>
        <v>Sample Size for Cluster Design</v>
      </c>
      <c r="C14" s="109" t="str">
        <f>IF(Scrap!B17="Aedes",VLOOKUP(C7,'Critical Values'!B27:I47,6,TRUE),(IF(Scrap!B17="Anopheles, Culex, or Mansonia",VLOOKUP(C7,'Critical Values'!B2:I26,6,TRUE),"Please go back to 'Start Here' and double check all data fields for completeness")))</f>
        <v>Please go back to 'Start Here' and double check all data fields for completeness</v>
      </c>
      <c r="D14" s="89"/>
      <c r="E14" s="102" t="str">
        <f>"Sample Size for Cluster Design"</f>
        <v>Sample Size for Cluster Design</v>
      </c>
      <c r="F14" s="109" t="str">
        <f>IF(F6="NA","NA",332)</f>
        <v>NA</v>
      </c>
    </row>
    <row r="15" spans="2:12" s="88" customFormat="1" ht="32.25" customHeight="1">
      <c r="B15" s="113" t="s">
        <v>76</v>
      </c>
      <c r="C15" s="109" t="e">
        <f>IF((ROUNDUP((C14/(1-C9)),0)/C10)&lt;30,30,ROUNDUP((ROUNDUP((C14/(1-C9)),0)/C10),0))</f>
        <v>#VALUE!</v>
      </c>
      <c r="E15" s="110" t="s">
        <v>79</v>
      </c>
      <c r="F15" s="109" t="str">
        <f>IF(F9="NA","NA",C15)</f>
        <v>NA</v>
      </c>
      <c r="H15" s="182" t="s">
        <v>103</v>
      </c>
      <c r="I15" s="183"/>
      <c r="J15" s="183"/>
      <c r="K15" s="183"/>
      <c r="L15" s="184"/>
    </row>
    <row r="16" spans="2:12" s="88" customFormat="1" ht="32.25" customHeight="1">
      <c r="B16" s="112" t="s">
        <v>77</v>
      </c>
      <c r="C16" s="111" t="e">
        <f>IF(C15&gt;30,"Test all children in the target grade(s)",((ROUND((C14/(1-'Start Here'!D9)),0)/C10)/30))</f>
        <v>#VALUE!</v>
      </c>
      <c r="E16" s="102" t="s">
        <v>80</v>
      </c>
      <c r="F16" s="111" t="str">
        <f>IF(F9="NA","NA",(IF(ROUNDUP((F14/(1-F9)),0)/F10/F15&gt;1,"Test all children in target grade",ROUNDUP((F14/(1-F9)),0)/F10/C15)))</f>
        <v>NA</v>
      </c>
      <c r="H16" s="97" t="s">
        <v>101</v>
      </c>
      <c r="I16" s="97" t="s">
        <v>98</v>
      </c>
      <c r="J16" s="97" t="s">
        <v>99</v>
      </c>
      <c r="K16" s="97" t="s">
        <v>100</v>
      </c>
      <c r="L16" s="98" t="s">
        <v>93</v>
      </c>
    </row>
    <row r="17" spans="2:12" s="88" customFormat="1" ht="32.25" customHeight="1">
      <c r="B17" s="112" t="s">
        <v>78</v>
      </c>
      <c r="C17" s="111" t="e">
        <f>IF(C16="Test all children in the target grade(s)","N/A",1/C16)</f>
        <v>#VALUE!</v>
      </c>
      <c r="E17" s="102" t="s">
        <v>81</v>
      </c>
      <c r="F17" s="111" t="str">
        <f>IF(F9="NA","NA",(IF(F16="Test all children in the target grade","N/A",1/F16)))</f>
        <v>NA</v>
      </c>
      <c r="H17" s="99" t="e">
        <f>VLOOKUP($F$14,'STH Critical Values'!$C$7:$H$7,2,FALSE)</f>
        <v>#N/A</v>
      </c>
      <c r="I17" s="99" t="e">
        <f>VLOOKUP($F$14,'STH Critical Values'!$C$7:$H$7,3,FALSE)</f>
        <v>#N/A</v>
      </c>
      <c r="J17" s="99" t="e">
        <f>VLOOKUP($F$14,'STH Critical Values'!$C$7:$H$7,4,FALSE)</f>
        <v>#N/A</v>
      </c>
      <c r="K17" s="99" t="e">
        <f>VLOOKUP($F$14,'STH Critical Values'!$C$7:$H$7,5,FALSE)</f>
        <v>#N/A</v>
      </c>
      <c r="L17" s="99" t="e">
        <f>VLOOKUP($F$14,'STH Critical Values'!$C$7:$H$7,6,FALSE)</f>
        <v>#N/A</v>
      </c>
    </row>
    <row r="18" spans="2:6" s="88" customFormat="1" ht="32.25" customHeight="1">
      <c r="B18" s="112" t="s">
        <v>106</v>
      </c>
      <c r="C18" s="109" t="e">
        <f>VLOOKUP(C14,'Critical Values'!G:I,3,FALSE)</f>
        <v>#N/A</v>
      </c>
      <c r="E18" s="177" t="s">
        <v>102</v>
      </c>
      <c r="F18" s="178"/>
    </row>
    <row r="19" spans="1:5" ht="18" customHeight="1">
      <c r="A19" s="60" t="s">
        <v>34</v>
      </c>
      <c r="B19" s="3" t="str">
        <f>"Based on a "&amp;C9*100&amp;"% absentee rate"</f>
        <v>Based on a 0% absentee rate</v>
      </c>
      <c r="D19" s="90">
        <v>2</v>
      </c>
      <c r="E19" s="3">
        <f>IF(F9="NA","",("Based on a "&amp;F9*100&amp;"% absentee rate"))</f>
      </c>
    </row>
    <row r="20" spans="1:2" s="38" customFormat="1" ht="66" customHeight="1">
      <c r="A20" s="37"/>
      <c r="B20" s="37"/>
    </row>
    <row r="21" spans="2:6" ht="45.75" customHeight="1">
      <c r="B21" s="185" t="e">
        <f>IF(C15&gt;30,"","Lists corresponding to the "&amp;C6&amp;" selected for testing in each selected school.")</f>
        <v>#VALUE!</v>
      </c>
      <c r="C21" s="185"/>
      <c r="D21" s="144"/>
      <c r="E21" s="187" t="e">
        <f>IF(AND(C15=30,C6=F6),"","Lists corresponding to the "&amp;F6&amp;" selected for testing in each selected school.")</f>
        <v>#VALUE!</v>
      </c>
      <c r="F21" s="187"/>
    </row>
    <row r="22" spans="2:6" ht="28.5" customHeight="1">
      <c r="B22" s="186" t="e">
        <f>IF(AND(C6=F6,C15=30),"Note: the numbers with the ' * ' next to them correspond to children who should be sampled for both TAS and STH","")</f>
        <v>#VALUE!</v>
      </c>
      <c r="C22" s="186"/>
      <c r="D22" s="29"/>
      <c r="E22" s="29"/>
      <c r="F22" s="29"/>
    </row>
    <row r="23" spans="2:6" ht="15.75">
      <c r="B23" s="134" t="e">
        <f>IF(AND(C6=F6,C15=30),"TAS/STH List A",IF(C15&gt;30,"","TAS List A"))</f>
        <v>#VALUE!</v>
      </c>
      <c r="C23" s="134" t="e">
        <f>IF(AND(C6=F6,C15=30),"TAS/STH List B",IF(C15&gt;30,"","TAS List B"))</f>
        <v>#VALUE!</v>
      </c>
      <c r="D23" s="29"/>
      <c r="E23" s="134"/>
      <c r="F23" s="134"/>
    </row>
    <row r="325" spans="2:6" s="38" customFormat="1" ht="15">
      <c r="B325" s="101"/>
      <c r="C325" s="101"/>
      <c r="D325" s="51"/>
      <c r="E325" s="51"/>
      <c r="F325" s="51"/>
    </row>
    <row r="326" spans="2:6" s="38" customFormat="1" ht="15">
      <c r="B326" s="101"/>
      <c r="C326" s="101"/>
      <c r="D326" s="51"/>
      <c r="E326" s="51"/>
      <c r="F326" s="51"/>
    </row>
    <row r="327" spans="2:6" s="38" customFormat="1" ht="15">
      <c r="B327" s="101" t="s">
        <v>116</v>
      </c>
      <c r="C327" s="101"/>
      <c r="D327" s="51"/>
      <c r="E327" s="51"/>
      <c r="F327" s="51"/>
    </row>
    <row r="328" spans="2:6" s="38" customFormat="1" ht="15">
      <c r="B328" s="101"/>
      <c r="C328" s="101" t="s">
        <v>116</v>
      </c>
      <c r="D328" s="51"/>
      <c r="E328" s="51"/>
      <c r="F328" s="51"/>
    </row>
    <row r="329" spans="2:6" s="38" customFormat="1" ht="15">
      <c r="B329" s="101"/>
      <c r="C329" s="101"/>
      <c r="D329" s="51"/>
      <c r="E329" s="51"/>
      <c r="F329" s="51"/>
    </row>
    <row r="330" spans="2:6" s="38" customFormat="1" ht="15">
      <c r="B330" s="101"/>
      <c r="C330" s="101"/>
      <c r="D330" s="51"/>
      <c r="E330" s="51"/>
      <c r="F330" s="51"/>
    </row>
    <row r="331" spans="2:6" s="38" customFormat="1" ht="15">
      <c r="B331" s="101"/>
      <c r="C331" s="101"/>
      <c r="D331" s="51"/>
      <c r="E331" s="51"/>
      <c r="F331" s="51"/>
    </row>
    <row r="332" spans="2:6" s="38" customFormat="1" ht="15">
      <c r="B332" s="101"/>
      <c r="C332" s="101"/>
      <c r="D332" s="51"/>
      <c r="E332" s="51"/>
      <c r="F332" s="51"/>
    </row>
    <row r="333" spans="2:6" s="38" customFormat="1" ht="15">
      <c r="B333" s="101"/>
      <c r="C333" s="101"/>
      <c r="D333" s="51"/>
      <c r="E333" s="51"/>
      <c r="F333" s="51"/>
    </row>
    <row r="334" spans="2:6" s="38" customFormat="1" ht="15">
      <c r="B334" s="101"/>
      <c r="C334" s="101"/>
      <c r="D334" s="51"/>
      <c r="E334" s="51"/>
      <c r="F334" s="51"/>
    </row>
    <row r="335" spans="2:6" s="38" customFormat="1" ht="15">
      <c r="B335" s="101"/>
      <c r="C335" s="101"/>
      <c r="D335" s="51"/>
      <c r="E335" s="51"/>
      <c r="F335" s="51"/>
    </row>
    <row r="336" spans="2:6" s="38" customFormat="1" ht="15">
      <c r="B336" s="101"/>
      <c r="C336" s="101"/>
      <c r="D336" s="51"/>
      <c r="E336" s="51"/>
      <c r="F336" s="51"/>
    </row>
    <row r="337" spans="2:6" s="38" customFormat="1" ht="15">
      <c r="B337" s="101"/>
      <c r="C337" s="101"/>
      <c r="D337" s="51"/>
      <c r="E337" s="51"/>
      <c r="F337" s="51"/>
    </row>
    <row r="338" spans="2:6" s="38" customFormat="1" ht="15">
      <c r="B338" s="101"/>
      <c r="C338" s="101"/>
      <c r="D338" s="51"/>
      <c r="E338" s="51"/>
      <c r="F338" s="51"/>
    </row>
    <row r="339" spans="2:6" s="38" customFormat="1" ht="15">
      <c r="B339" s="101"/>
      <c r="C339" s="101"/>
      <c r="D339" s="51"/>
      <c r="E339" s="51"/>
      <c r="F339" s="51"/>
    </row>
    <row r="340" spans="2:6" s="38" customFormat="1" ht="15">
      <c r="B340" s="101"/>
      <c r="C340" s="101"/>
      <c r="D340" s="51"/>
      <c r="E340" s="51"/>
      <c r="F340" s="51"/>
    </row>
    <row r="341" spans="2:6" s="38" customFormat="1" ht="15">
      <c r="B341" s="101"/>
      <c r="C341" s="101"/>
      <c r="D341" s="51"/>
      <c r="E341" s="51"/>
      <c r="F341" s="51"/>
    </row>
    <row r="342" spans="2:6" s="38" customFormat="1" ht="15">
      <c r="B342" s="101"/>
      <c r="C342" s="101"/>
      <c r="D342" s="51"/>
      <c r="E342" s="51"/>
      <c r="F342" s="51"/>
    </row>
    <row r="343" spans="2:6" s="38" customFormat="1" ht="15">
      <c r="B343" s="101"/>
      <c r="C343" s="101"/>
      <c r="D343" s="51"/>
      <c r="E343" s="51"/>
      <c r="F343" s="51"/>
    </row>
    <row r="344" spans="2:6" s="38" customFormat="1" ht="15">
      <c r="B344" s="101"/>
      <c r="C344" s="101"/>
      <c r="D344" s="51"/>
      <c r="E344" s="51"/>
      <c r="F344" s="51"/>
    </row>
    <row r="345" spans="2:6" s="38" customFormat="1" ht="15">
      <c r="B345" s="101"/>
      <c r="C345" s="101"/>
      <c r="D345" s="51"/>
      <c r="E345" s="51"/>
      <c r="F345" s="51"/>
    </row>
    <row r="346" spans="2:6" s="38" customFormat="1" ht="15">
      <c r="B346" s="51"/>
      <c r="C346" s="51"/>
      <c r="D346" s="51"/>
      <c r="E346" s="51"/>
      <c r="F346" s="51"/>
    </row>
    <row r="347" spans="2:6" s="38" customFormat="1" ht="15">
      <c r="B347" s="51"/>
      <c r="C347" s="51"/>
      <c r="D347" s="51"/>
      <c r="E347" s="51"/>
      <c r="F347" s="51"/>
    </row>
    <row r="348" spans="2:6" s="38" customFormat="1" ht="15">
      <c r="B348" s="51"/>
      <c r="C348" s="51"/>
      <c r="D348" s="51"/>
      <c r="E348" s="51"/>
      <c r="F348" s="51"/>
    </row>
    <row r="349" spans="2:6" s="38" customFormat="1" ht="15">
      <c r="B349" s="51"/>
      <c r="C349" s="51"/>
      <c r="D349" s="51"/>
      <c r="E349" s="51"/>
      <c r="F349" s="51"/>
    </row>
    <row r="350" spans="2:6" s="38" customFormat="1" ht="15">
      <c r="B350" s="51"/>
      <c r="C350" s="51"/>
      <c r="D350" s="51"/>
      <c r="E350" s="51"/>
      <c r="F350" s="51"/>
    </row>
    <row r="351" spans="2:6" s="38" customFormat="1" ht="15">
      <c r="B351" s="51"/>
      <c r="C351" s="51"/>
      <c r="D351" s="51"/>
      <c r="E351" s="51"/>
      <c r="F351" s="51"/>
    </row>
    <row r="352" spans="2:6" s="38" customFormat="1" ht="15">
      <c r="B352" s="51"/>
      <c r="C352" s="51"/>
      <c r="D352" s="51"/>
      <c r="E352" s="51"/>
      <c r="F352" s="51"/>
    </row>
    <row r="353" spans="2:6" s="38" customFormat="1" ht="15">
      <c r="B353" s="51"/>
      <c r="C353" s="51"/>
      <c r="D353" s="51"/>
      <c r="E353" s="51"/>
      <c r="F353" s="51"/>
    </row>
    <row r="354" spans="2:6" s="38" customFormat="1" ht="15">
      <c r="B354" s="51"/>
      <c r="C354" s="51"/>
      <c r="D354" s="51"/>
      <c r="E354" s="51"/>
      <c r="F354" s="51"/>
    </row>
    <row r="355" spans="2:6" s="38" customFormat="1" ht="15">
      <c r="B355" s="51"/>
      <c r="C355" s="51"/>
      <c r="D355" s="51"/>
      <c r="E355" s="51"/>
      <c r="F355" s="51"/>
    </row>
    <row r="356" s="38" customFormat="1" ht="15"/>
    <row r="357" s="38" customFormat="1" ht="15"/>
    <row r="358" s="38" customFormat="1" ht="15"/>
    <row r="359" s="38" customFormat="1" ht="15"/>
    <row r="360" s="38" customFormat="1" ht="15"/>
    <row r="361" s="38" customFormat="1" ht="15"/>
    <row r="362" s="38" customFormat="1" ht="15"/>
    <row r="363" s="38" customFormat="1" ht="15"/>
    <row r="364" s="38" customFormat="1" ht="15"/>
    <row r="365" s="38" customFormat="1" ht="15"/>
    <row r="366" s="38" customFormat="1" ht="15"/>
    <row r="367" s="38" customFormat="1" ht="15"/>
    <row r="368" s="38" customFormat="1" ht="15"/>
    <row r="369" s="38" customFormat="1" ht="15"/>
    <row r="370" s="38" customFormat="1" ht="15"/>
    <row r="371" s="38" customFormat="1" ht="15"/>
    <row r="372" s="38" customFormat="1" ht="15"/>
    <row r="373" s="38" customFormat="1" ht="15"/>
    <row r="374" s="38" customFormat="1" ht="15"/>
    <row r="375" s="38" customFormat="1" ht="15"/>
    <row r="376" s="38" customFormat="1" ht="15"/>
    <row r="377" s="38" customFormat="1" ht="15"/>
    <row r="378" s="38" customFormat="1" ht="15"/>
    <row r="379" s="38" customFormat="1" ht="15"/>
    <row r="380" s="38" customFormat="1" ht="15"/>
    <row r="381" s="38" customFormat="1" ht="15"/>
    <row r="382" s="38" customFormat="1" ht="15"/>
    <row r="383" s="38" customFormat="1" ht="15"/>
    <row r="384" s="38" customFormat="1" ht="15"/>
    <row r="385" s="38" customFormat="1" ht="15"/>
    <row r="386" s="38" customFormat="1" ht="15"/>
    <row r="387" s="38" customFormat="1" ht="15"/>
    <row r="388" s="38" customFormat="1" ht="15"/>
    <row r="389" s="38" customFormat="1" ht="15"/>
    <row r="390" s="38" customFormat="1" ht="15"/>
    <row r="391" s="38" customFormat="1" ht="15"/>
    <row r="392" s="38" customFormat="1" ht="15"/>
    <row r="393" s="38" customFormat="1" ht="15"/>
    <row r="394" s="38" customFormat="1" ht="15"/>
    <row r="395" s="38" customFormat="1" ht="15"/>
    <row r="396" s="38" customFormat="1" ht="15"/>
    <row r="397" s="38" customFormat="1" ht="15"/>
    <row r="398" s="38" customFormat="1" ht="15"/>
    <row r="399" s="38" customFormat="1" ht="15"/>
    <row r="400" s="38" customFormat="1" ht="15"/>
    <row r="401" s="38" customFormat="1" ht="15"/>
    <row r="402" s="38" customFormat="1" ht="15"/>
    <row r="403" s="38" customFormat="1" ht="15"/>
    <row r="404" s="38" customFormat="1" ht="15"/>
    <row r="405" s="38" customFormat="1" ht="15"/>
    <row r="406" s="38" customFormat="1" ht="15"/>
    <row r="407" s="38" customFormat="1" ht="15"/>
    <row r="408" s="38" customFormat="1" ht="15"/>
    <row r="409" s="38" customFormat="1" ht="15"/>
    <row r="410" s="38" customFormat="1" ht="15"/>
    <row r="411" s="38" customFormat="1" ht="15"/>
    <row r="412" s="38" customFormat="1" ht="15"/>
    <row r="413" s="38" customFormat="1" ht="15"/>
    <row r="414" s="38" customFormat="1" ht="15"/>
    <row r="415" s="38" customFormat="1" ht="15"/>
    <row r="416" s="38" customFormat="1" ht="15"/>
    <row r="417" s="38" customFormat="1" ht="15"/>
    <row r="418" s="38" customFormat="1" ht="15"/>
    <row r="419" s="38" customFormat="1" ht="15"/>
    <row r="420" s="38" customFormat="1" ht="15"/>
    <row r="421" s="38" customFormat="1" ht="15"/>
    <row r="422" s="38" customFormat="1" ht="15"/>
    <row r="423" s="38" customFormat="1" ht="15"/>
    <row r="424" s="38" customFormat="1" ht="15"/>
    <row r="425" s="38" customFormat="1" ht="15"/>
    <row r="426" s="38" customFormat="1" ht="15"/>
    <row r="427" s="38" customFormat="1" ht="15"/>
    <row r="428" s="38" customFormat="1" ht="15"/>
    <row r="429" s="38" customFormat="1" ht="15"/>
    <row r="430" s="38" customFormat="1" ht="15"/>
    <row r="431" spans="2:3" ht="15">
      <c r="B431" s="38"/>
      <c r="C431" s="38"/>
    </row>
    <row r="432" spans="2:3" ht="15">
      <c r="B432" s="38"/>
      <c r="C432" s="38"/>
    </row>
    <row r="433" spans="2:3" ht="15">
      <c r="B433" s="38"/>
      <c r="C433" s="38"/>
    </row>
    <row r="434" spans="2:3" ht="15">
      <c r="B434" s="38"/>
      <c r="C434" s="38"/>
    </row>
    <row r="435" spans="2:3" ht="15">
      <c r="B435" s="38"/>
      <c r="C435" s="38"/>
    </row>
    <row r="436" spans="2:3" ht="15">
      <c r="B436" s="38"/>
      <c r="C436" s="38"/>
    </row>
    <row r="437" spans="2:3" ht="15">
      <c r="B437" s="38"/>
      <c r="C437" s="38"/>
    </row>
    <row r="438" spans="2:3" ht="15">
      <c r="B438" s="38"/>
      <c r="C438" s="38"/>
    </row>
    <row r="439" spans="2:3" ht="15">
      <c r="B439" s="38"/>
      <c r="C439" s="38"/>
    </row>
    <row r="440" spans="2:3" ht="15">
      <c r="B440" s="38"/>
      <c r="C440" s="38"/>
    </row>
    <row r="441" spans="2:3" ht="15">
      <c r="B441" s="38"/>
      <c r="C441" s="38"/>
    </row>
    <row r="442" spans="2:3" ht="15">
      <c r="B442" s="38"/>
      <c r="C442" s="38"/>
    </row>
    <row r="443" spans="2:3" ht="15">
      <c r="B443" s="38"/>
      <c r="C443" s="38"/>
    </row>
    <row r="444" spans="2:3" ht="15">
      <c r="B444" s="38"/>
      <c r="C444" s="38"/>
    </row>
    <row r="445" spans="2:3" ht="15">
      <c r="B445" s="38"/>
      <c r="C445" s="38"/>
    </row>
    <row r="446" spans="2:3" ht="15">
      <c r="B446" s="38"/>
      <c r="C446" s="38"/>
    </row>
    <row r="447" spans="2:3" ht="15">
      <c r="B447" s="38"/>
      <c r="C447" s="38"/>
    </row>
    <row r="448" spans="2:3" ht="15">
      <c r="B448" s="38"/>
      <c r="C448" s="38"/>
    </row>
    <row r="449" spans="2:3" ht="15">
      <c r="B449" s="38"/>
      <c r="C449" s="38"/>
    </row>
    <row r="450" spans="2:3" ht="15">
      <c r="B450" s="38"/>
      <c r="C450" s="38"/>
    </row>
    <row r="451" spans="2:3" ht="15">
      <c r="B451" s="38"/>
      <c r="C451" s="38"/>
    </row>
    <row r="452" spans="2:3" ht="15">
      <c r="B452" s="38"/>
      <c r="C452" s="38"/>
    </row>
    <row r="453" spans="2:3" ht="15">
      <c r="B453" s="38"/>
      <c r="C453" s="38"/>
    </row>
    <row r="454" spans="2:3" ht="15">
      <c r="B454" s="38"/>
      <c r="C454" s="38"/>
    </row>
    <row r="455" spans="2:3" ht="15">
      <c r="B455" s="38"/>
      <c r="C455" s="38"/>
    </row>
    <row r="456" spans="2:3" ht="15">
      <c r="B456" s="38"/>
      <c r="C456" s="38"/>
    </row>
    <row r="457" spans="2:3" ht="15">
      <c r="B457" s="38"/>
      <c r="C457" s="38"/>
    </row>
    <row r="458" spans="2:3" ht="15">
      <c r="B458" s="38"/>
      <c r="C458" s="38"/>
    </row>
    <row r="459" spans="2:3" ht="15">
      <c r="B459" s="38"/>
      <c r="C459" s="38"/>
    </row>
    <row r="460" spans="2:3" ht="15">
      <c r="B460" s="38"/>
      <c r="C460" s="38"/>
    </row>
    <row r="461" spans="2:3" ht="15">
      <c r="B461" s="38"/>
      <c r="C461" s="38"/>
    </row>
    <row r="462" spans="2:3" ht="15">
      <c r="B462" s="38"/>
      <c r="C462" s="38"/>
    </row>
    <row r="463" spans="2:3" ht="15">
      <c r="B463" s="38"/>
      <c r="C463" s="38"/>
    </row>
    <row r="464" spans="2:3" ht="15">
      <c r="B464" s="38"/>
      <c r="C464" s="38"/>
    </row>
    <row r="465" spans="2:3" ht="15">
      <c r="B465" s="38"/>
      <c r="C465" s="38"/>
    </row>
    <row r="466" spans="2:3" ht="15">
      <c r="B466" s="38"/>
      <c r="C466" s="38"/>
    </row>
    <row r="467" spans="2:3" ht="15">
      <c r="B467" s="38"/>
      <c r="C467" s="38"/>
    </row>
    <row r="468" spans="2:3" ht="15">
      <c r="B468" s="38"/>
      <c r="C468" s="38"/>
    </row>
    <row r="469" spans="2:3" ht="15">
      <c r="B469" s="38"/>
      <c r="C469" s="38"/>
    </row>
    <row r="470" spans="2:3" ht="15">
      <c r="B470" s="38"/>
      <c r="C470" s="38"/>
    </row>
    <row r="471" spans="2:3" ht="15">
      <c r="B471" s="38"/>
      <c r="C471" s="38"/>
    </row>
    <row r="472" spans="2:3" ht="15">
      <c r="B472" s="38"/>
      <c r="C472" s="38"/>
    </row>
    <row r="473" spans="2:3" ht="15">
      <c r="B473" s="38"/>
      <c r="C473" s="38"/>
    </row>
    <row r="474" spans="2:3" ht="15">
      <c r="B474" s="38"/>
      <c r="C474" s="38"/>
    </row>
    <row r="475" spans="2:3" ht="15">
      <c r="B475" s="38"/>
      <c r="C475" s="38"/>
    </row>
    <row r="476" spans="2:3" ht="15">
      <c r="B476" s="38"/>
      <c r="C476" s="38"/>
    </row>
    <row r="477" spans="2:3" ht="15">
      <c r="B477" s="38"/>
      <c r="C477" s="38"/>
    </row>
    <row r="478" spans="2:3" ht="15">
      <c r="B478" s="38"/>
      <c r="C478" s="38"/>
    </row>
    <row r="479" spans="2:3" ht="15">
      <c r="B479" s="38"/>
      <c r="C479" s="38"/>
    </row>
    <row r="480" spans="2:3" ht="15">
      <c r="B480" s="38"/>
      <c r="C480" s="38"/>
    </row>
    <row r="481" spans="2:3" ht="15">
      <c r="B481" s="38"/>
      <c r="C481" s="38"/>
    </row>
    <row r="482" spans="2:3" ht="15">
      <c r="B482" s="38"/>
      <c r="C482" s="38"/>
    </row>
    <row r="483" spans="2:3" ht="15">
      <c r="B483" s="38"/>
      <c r="C483" s="38"/>
    </row>
    <row r="484" spans="2:3" ht="15">
      <c r="B484" s="38"/>
      <c r="C484" s="38"/>
    </row>
    <row r="485" spans="2:3" ht="15">
      <c r="B485" s="38"/>
      <c r="C485" s="38"/>
    </row>
    <row r="486" spans="2:3" ht="15">
      <c r="B486" s="38"/>
      <c r="C486" s="38"/>
    </row>
    <row r="487" spans="2:3" ht="15">
      <c r="B487" s="38"/>
      <c r="C487" s="38"/>
    </row>
    <row r="488" spans="2:3" ht="15">
      <c r="B488" s="38"/>
      <c r="C488" s="38"/>
    </row>
    <row r="489" spans="2:3" ht="15">
      <c r="B489" s="38"/>
      <c r="C489" s="38"/>
    </row>
    <row r="490" spans="2:3" ht="15">
      <c r="B490" s="38"/>
      <c r="C490" s="38"/>
    </row>
    <row r="491" spans="2:3" ht="15">
      <c r="B491" s="38"/>
      <c r="C491" s="38"/>
    </row>
    <row r="492" spans="2:3" ht="15">
      <c r="B492" s="38"/>
      <c r="C492" s="38"/>
    </row>
    <row r="493" spans="2:3" ht="15">
      <c r="B493" s="38"/>
      <c r="C493" s="38"/>
    </row>
    <row r="494" spans="2:3" ht="15">
      <c r="B494" s="38"/>
      <c r="C494" s="38"/>
    </row>
    <row r="495" spans="2:3" ht="15">
      <c r="B495" s="38"/>
      <c r="C495" s="38"/>
    </row>
    <row r="496" spans="2:3" ht="15">
      <c r="B496" s="38"/>
      <c r="C496" s="38"/>
    </row>
    <row r="497" spans="2:3" ht="15">
      <c r="B497" s="38"/>
      <c r="C497" s="38"/>
    </row>
    <row r="498" spans="2:3" ht="15">
      <c r="B498" s="38"/>
      <c r="C498" s="38"/>
    </row>
    <row r="499" spans="2:3" ht="15">
      <c r="B499" s="38"/>
      <c r="C499" s="38"/>
    </row>
    <row r="500" spans="2:3" ht="15">
      <c r="B500" s="38"/>
      <c r="C500" s="38"/>
    </row>
    <row r="501" spans="2:3" ht="15">
      <c r="B501" s="38"/>
      <c r="C501" s="38"/>
    </row>
    <row r="502" spans="2:3" ht="15">
      <c r="B502" s="38"/>
      <c r="C502" s="38"/>
    </row>
    <row r="503" spans="2:3" ht="15">
      <c r="B503" s="38"/>
      <c r="C503" s="38"/>
    </row>
    <row r="504" spans="2:3" ht="15">
      <c r="B504" s="38"/>
      <c r="C504" s="38"/>
    </row>
    <row r="505" spans="2:3" ht="15">
      <c r="B505" s="38"/>
      <c r="C505" s="38"/>
    </row>
    <row r="506" spans="2:3" ht="15">
      <c r="B506" s="38"/>
      <c r="C506" s="38"/>
    </row>
    <row r="507" spans="2:3" ht="15">
      <c r="B507" s="38"/>
      <c r="C507" s="38"/>
    </row>
    <row r="508" spans="2:3" ht="15">
      <c r="B508" s="38"/>
      <c r="C508" s="38"/>
    </row>
    <row r="509" spans="2:3" ht="15">
      <c r="B509" s="38"/>
      <c r="C509" s="38"/>
    </row>
  </sheetData>
  <sheetProtection password="CFC9" sheet="1" objects="1" scenarios="1"/>
  <mergeCells count="12">
    <mergeCell ref="B21:C21"/>
    <mergeCell ref="B22:C22"/>
    <mergeCell ref="E21:F21"/>
    <mergeCell ref="E18:F18"/>
    <mergeCell ref="H15:L15"/>
    <mergeCell ref="B13:C13"/>
    <mergeCell ref="E5:F5"/>
    <mergeCell ref="B5:C5"/>
    <mergeCell ref="B11:F11"/>
    <mergeCell ref="E13:F13"/>
    <mergeCell ref="B12:C12"/>
    <mergeCell ref="E12:F12"/>
  </mergeCell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509"/>
  <sheetViews>
    <sheetView showGridLines="0" zoomScalePageLayoutView="0" workbookViewId="0" topLeftCell="A1">
      <selection activeCell="E1" sqref="E1"/>
    </sheetView>
  </sheetViews>
  <sheetFormatPr defaultColWidth="9.140625" defaultRowHeight="15"/>
  <cols>
    <col min="1" max="1" width="6.140625" style="0" customWidth="1"/>
    <col min="2" max="2" width="50.7109375" style="0" customWidth="1"/>
    <col min="3" max="3" width="20.7109375" style="0" customWidth="1"/>
    <col min="4" max="4" width="5.57421875" style="0" customWidth="1"/>
    <col min="5" max="5" width="52.00390625" style="0" customWidth="1"/>
    <col min="6" max="6" width="20.7109375" style="0" customWidth="1"/>
    <col min="8" max="12" width="10.57421875" style="0" customWidth="1"/>
  </cols>
  <sheetData>
    <row r="1" spans="2:3" ht="18.75">
      <c r="B1" s="85" t="str">
        <f>"Country Name:         "&amp;Scrap!B15</f>
        <v>Country Name:         </v>
      </c>
      <c r="C1" s="3"/>
    </row>
    <row r="2" spans="2:3" ht="18.75">
      <c r="B2" s="86" t="str">
        <f>"EU Name:                   "&amp;Scrap!B16</f>
        <v>EU Name:                   </v>
      </c>
      <c r="C2" s="3"/>
    </row>
    <row r="3" spans="2:3" ht="18.75">
      <c r="B3" s="86" t="str">
        <f>"Primary LF Vector:   "&amp;Scrap!B17</f>
        <v>Primary LF Vector:   </v>
      </c>
      <c r="C3" s="15"/>
    </row>
    <row r="4" ht="17.25" customHeight="1"/>
    <row r="5" spans="2:6" ht="21.75" customHeight="1">
      <c r="B5" s="166" t="s">
        <v>73</v>
      </c>
      <c r="C5" s="166"/>
      <c r="E5" s="167" t="s">
        <v>74</v>
      </c>
      <c r="F5" s="167"/>
    </row>
    <row r="6" spans="2:6" s="87" customFormat="1" ht="32.25" customHeight="1">
      <c r="B6" s="102" t="str">
        <f>'Start Here'!C6</f>
        <v>Target population </v>
      </c>
      <c r="C6" s="91">
        <f>'Start Here'!D6</f>
        <v>0</v>
      </c>
      <c r="E6" s="102" t="str">
        <f>'Start Here'!F6</f>
        <v>Target population </v>
      </c>
      <c r="F6" s="91" t="str">
        <f>IF('Start Here'!G6="","NA",'Start Here'!G6)</f>
        <v>NA</v>
      </c>
    </row>
    <row r="7" spans="2:6" s="87" customFormat="1" ht="32.25" customHeight="1">
      <c r="B7" s="103" t="str">
        <f>'Start Here'!C7</f>
        <v>Number of children in target population</v>
      </c>
      <c r="C7" s="104">
        <f>'Start Here'!D7</f>
        <v>0</v>
      </c>
      <c r="E7" s="103" t="str">
        <f>'Start Here'!F7</f>
        <v>Number of children in target population</v>
      </c>
      <c r="F7" s="91" t="str">
        <f>IF('Start Here'!G7="","NA",'Start Here'!G7)</f>
        <v>NA</v>
      </c>
    </row>
    <row r="8" spans="2:6" s="87" customFormat="1" ht="32.25" customHeight="1">
      <c r="B8" s="105" t="str">
        <f>'Start Here'!C8</f>
        <v>Number of primary schools in the EU</v>
      </c>
      <c r="C8" s="106">
        <f>'Start Here'!D8</f>
        <v>0</v>
      </c>
      <c r="E8" s="105" t="str">
        <f>'Start Here'!F8</f>
        <v>Number of primary schools in the EU</v>
      </c>
      <c r="F8" s="91" t="str">
        <f>IF('Start Here'!G8="","NA",'Start Here'!G8)</f>
        <v>NA</v>
      </c>
    </row>
    <row r="9" spans="2:6" s="87" customFormat="1" ht="32.25" customHeight="1">
      <c r="B9" s="103" t="str">
        <f>'Start Here'!C9</f>
        <v>Predicted LF non-response rate</v>
      </c>
      <c r="C9" s="107">
        <f>'Start Here'!D9</f>
        <v>0</v>
      </c>
      <c r="E9" s="103" t="str">
        <f>'Start Here'!F9</f>
        <v>Predicted STH non-response rate</v>
      </c>
      <c r="F9" s="142" t="str">
        <f>IF('Start Here'!G9="","NA",'Start Here'!G9)</f>
        <v>NA</v>
      </c>
    </row>
    <row r="10" spans="2:6" s="87" customFormat="1" ht="32.25" customHeight="1">
      <c r="B10" s="102" t="s">
        <v>119</v>
      </c>
      <c r="C10" s="108" t="e">
        <f>ROUNDDOWN(C7/C8,0)</f>
        <v>#DIV/0!</v>
      </c>
      <c r="E10" s="102" t="s">
        <v>119</v>
      </c>
      <c r="F10" s="108" t="str">
        <f>IF(F9="NA","NA",ROUNDDOWN(F7/F8,0))</f>
        <v>NA</v>
      </c>
    </row>
    <row r="11" spans="2:6" ht="42.75" customHeight="1">
      <c r="B11" s="168" t="s">
        <v>41</v>
      </c>
      <c r="C11" s="168"/>
      <c r="D11" s="168"/>
      <c r="E11" s="168"/>
      <c r="F11" s="168"/>
    </row>
    <row r="12" spans="2:6" ht="39.75" customHeight="1">
      <c r="B12" s="179" t="str">
        <f>"Systematic Sample of "&amp;C6&amp;" by Households"</f>
        <v>Systematic Sample of 0 by Households</v>
      </c>
      <c r="C12" s="179"/>
      <c r="D12" s="84"/>
      <c r="E12" s="180" t="str">
        <f>IF(F6="NA","NA",("Systematic Sample of "&amp;F6&amp;" by Households"))</f>
        <v>NA</v>
      </c>
      <c r="F12" s="180"/>
    </row>
    <row r="13" spans="2:6" ht="19.5" customHeight="1">
      <c r="B13" s="171" t="s">
        <v>75</v>
      </c>
      <c r="C13" s="171"/>
      <c r="E13" s="171" t="s">
        <v>75</v>
      </c>
      <c r="F13" s="171"/>
    </row>
    <row r="14" spans="2:12" s="88" customFormat="1" ht="32.25" customHeight="1">
      <c r="B14" s="124" t="str">
        <f>"Sample Size for Systematic Sample"</f>
        <v>Sample Size for Systematic Sample</v>
      </c>
      <c r="C14" s="125" t="str">
        <f>IF(Scrap!B17="Aedes",VLOOKUP(C7,'Critical Values'!B27:I47,4,TRUE),(IF(Scrap!B17="Anopheles, Culex, or Mansonia",VLOOKUP(C7,'Critical Values'!B2:I26,4,TRUE),"Please go back to 'Start Here' and double check all data fields for completeness")))</f>
        <v>Please go back to 'Start Here' and double check all data fields for completeness</v>
      </c>
      <c r="D14" s="89"/>
      <c r="E14" s="105" t="str">
        <f>"Sample Size for Systematic Sample"</f>
        <v>Sample Size for Systematic Sample</v>
      </c>
      <c r="F14" s="125" t="str">
        <f>IF(F9="NA","NA",166)</f>
        <v>NA</v>
      </c>
      <c r="H14" s="175" t="s">
        <v>103</v>
      </c>
      <c r="I14" s="175"/>
      <c r="J14" s="175"/>
      <c r="K14" s="175"/>
      <c r="L14" s="175"/>
    </row>
    <row r="15" spans="2:12" s="88" customFormat="1" ht="6.75" customHeight="1">
      <c r="B15" s="126"/>
      <c r="C15" s="127"/>
      <c r="D15" s="129"/>
      <c r="E15" s="128"/>
      <c r="F15" s="127"/>
      <c r="H15" s="176"/>
      <c r="I15" s="176"/>
      <c r="J15" s="176"/>
      <c r="K15" s="176"/>
      <c r="L15" s="176"/>
    </row>
    <row r="16" spans="2:12" s="88" customFormat="1" ht="32.25" customHeight="1">
      <c r="B16" s="112" t="s">
        <v>117</v>
      </c>
      <c r="C16" s="111" t="e">
        <f>IF(C17&gt;1,(1/C17),1)</f>
        <v>#VALUE!</v>
      </c>
      <c r="E16" s="102" t="s">
        <v>120</v>
      </c>
      <c r="F16" s="111" t="str">
        <f>IF(F9="NA","NA",(IF(F17&gt;1,(1/F17),1)))</f>
        <v>NA</v>
      </c>
      <c r="H16" s="97" t="s">
        <v>101</v>
      </c>
      <c r="I16" s="97" t="s">
        <v>98</v>
      </c>
      <c r="J16" s="97" t="s">
        <v>99</v>
      </c>
      <c r="K16" s="97" t="s">
        <v>100</v>
      </c>
      <c r="L16" s="98" t="s">
        <v>93</v>
      </c>
    </row>
    <row r="17" spans="2:12" s="88" customFormat="1" ht="32.25" customHeight="1">
      <c r="B17" s="112" t="s">
        <v>118</v>
      </c>
      <c r="C17" s="111" t="e">
        <f>IF(C7/(ROUNDUP((C14/(1-C9)),0))&gt;1,C7/(ROUNDUP((C14/(1-C9)),0)),1)</f>
        <v>#VALUE!</v>
      </c>
      <c r="E17" s="102" t="s">
        <v>121</v>
      </c>
      <c r="F17" s="111" t="str">
        <f>IF(F9="NA","NA",(IF(F7/(ROUNDUP((F14/(1-F9)),0))&gt;1,F7/(ROUNDUP((F14/(1-F9)),0)),1)))</f>
        <v>NA</v>
      </c>
      <c r="H17" s="99" t="e">
        <f>VLOOKUP($F$14,'STH Critical Values'!$C$5:$H$6,2,FALSE)</f>
        <v>#N/A</v>
      </c>
      <c r="I17" s="99" t="e">
        <f>VLOOKUP($F$14,'STH Critical Values'!$C$5:$H$6,3,FALSE)</f>
        <v>#N/A</v>
      </c>
      <c r="J17" s="99" t="e">
        <f>VLOOKUP($F$14,'STH Critical Values'!$C$5:$H$6,4,FALSE)</f>
        <v>#N/A</v>
      </c>
      <c r="K17" s="99" t="e">
        <f>VLOOKUP($F$14,'STH Critical Values'!$C$5:$H$6,5,FALSE)</f>
        <v>#N/A</v>
      </c>
      <c r="L17" s="99" t="e">
        <f>VLOOKUP($F$14,'STH Critical Values'!$C$5:$H$6,6,FALSE)</f>
        <v>#N/A</v>
      </c>
    </row>
    <row r="18" spans="2:6" s="88" customFormat="1" ht="32.25" customHeight="1">
      <c r="B18" s="112" t="s">
        <v>106</v>
      </c>
      <c r="C18" s="109" t="e">
        <f>VLOOKUP(C14,'Critical Values'!E:F,2,FALSE)</f>
        <v>#N/A</v>
      </c>
      <c r="E18" s="177" t="s">
        <v>102</v>
      </c>
      <c r="F18" s="178"/>
    </row>
    <row r="19" spans="1:5" ht="18" customHeight="1">
      <c r="A19" s="60" t="s">
        <v>34</v>
      </c>
      <c r="B19" s="3" t="str">
        <f>"Based on a "&amp;C9*100&amp;"% absentee rate"</f>
        <v>Based on a 0% absentee rate</v>
      </c>
      <c r="D19" s="90">
        <v>2</v>
      </c>
      <c r="E19" s="3">
        <f>IF(F9="NA","",("Based on a "&amp;F9*100&amp;"% absentee rate"))</f>
      </c>
    </row>
    <row r="20" spans="1:2" s="38" customFormat="1" ht="75.75" customHeight="1">
      <c r="A20" s="37"/>
      <c r="B20" s="37"/>
    </row>
    <row r="21" spans="2:3" ht="31.5" customHeight="1">
      <c r="B21" s="181" t="str">
        <f>"Lists corresponding to the HH's selected for sampling in each selected EA. Within each selected HH all children 6-7 yrs should be tested."</f>
        <v>Lists corresponding to the HH's selected for sampling in each selected EA. Within each selected HH all children 6-7 yrs should be tested.</v>
      </c>
      <c r="C21" s="181"/>
    </row>
    <row r="22" spans="2:3" ht="24.75" customHeight="1">
      <c r="B22" s="173" t="str">
        <f>"Note: the numbers with the ' * ' next to them correspond to children who should be sampled for both TAS and STH"</f>
        <v>Note: the numbers with the ' * ' next to them correspond to children who should be sampled for both TAS and STH</v>
      </c>
      <c r="C22" s="173"/>
    </row>
    <row r="23" spans="2:3" ht="24" customHeight="1">
      <c r="B23" s="132" t="s">
        <v>122</v>
      </c>
      <c r="C23" s="132" t="s">
        <v>123</v>
      </c>
    </row>
    <row r="325" spans="2:6" s="38" customFormat="1" ht="15">
      <c r="B325" s="101"/>
      <c r="C325" s="101" t="s">
        <v>116</v>
      </c>
      <c r="D325" s="51"/>
      <c r="E325" s="51"/>
      <c r="F325" s="51"/>
    </row>
    <row r="326" spans="2:6" s="38" customFormat="1" ht="15">
      <c r="B326" s="101" t="s">
        <v>124</v>
      </c>
      <c r="C326" s="101" t="s">
        <v>116</v>
      </c>
      <c r="D326" s="51"/>
      <c r="E326" s="51"/>
      <c r="F326" s="51"/>
    </row>
    <row r="327" spans="2:6" s="38" customFormat="1" ht="15">
      <c r="B327" s="101"/>
      <c r="C327" s="101"/>
      <c r="D327" s="51"/>
      <c r="E327" s="51"/>
      <c r="F327" s="51"/>
    </row>
    <row r="328" spans="2:6" s="38" customFormat="1" ht="15">
      <c r="B328" s="101"/>
      <c r="C328" s="101"/>
      <c r="D328" s="51"/>
      <c r="E328" s="51"/>
      <c r="F328" s="51"/>
    </row>
    <row r="329" spans="2:6" s="38" customFormat="1" ht="15">
      <c r="B329" s="101"/>
      <c r="C329" s="101"/>
      <c r="D329" s="51"/>
      <c r="E329" s="51"/>
      <c r="F329" s="51"/>
    </row>
    <row r="330" spans="2:6" s="38" customFormat="1" ht="15">
      <c r="B330" s="101"/>
      <c r="C330" s="101"/>
      <c r="D330" s="51"/>
      <c r="E330" s="51"/>
      <c r="F330" s="51"/>
    </row>
    <row r="331" spans="2:6" s="38" customFormat="1" ht="15">
      <c r="B331" s="101"/>
      <c r="C331" s="101"/>
      <c r="D331" s="51"/>
      <c r="E331" s="51"/>
      <c r="F331" s="51"/>
    </row>
    <row r="332" spans="2:6" s="38" customFormat="1" ht="15">
      <c r="B332" s="101"/>
      <c r="C332" s="101"/>
      <c r="D332" s="51"/>
      <c r="E332" s="51"/>
      <c r="F332" s="51"/>
    </row>
    <row r="333" spans="2:6" s="38" customFormat="1" ht="15">
      <c r="B333" s="101"/>
      <c r="C333" s="101"/>
      <c r="D333" s="51"/>
      <c r="E333" s="51"/>
      <c r="F333" s="51"/>
    </row>
    <row r="334" spans="2:6" s="38" customFormat="1" ht="15">
      <c r="B334" s="101"/>
      <c r="C334" s="101"/>
      <c r="D334" s="51"/>
      <c r="E334" s="51"/>
      <c r="F334" s="51"/>
    </row>
    <row r="335" spans="2:6" s="38" customFormat="1" ht="15">
      <c r="B335" s="101"/>
      <c r="C335" s="101"/>
      <c r="D335" s="51"/>
      <c r="E335" s="51"/>
      <c r="F335" s="51"/>
    </row>
    <row r="336" spans="2:6" s="38" customFormat="1" ht="15">
      <c r="B336" s="101"/>
      <c r="C336" s="101"/>
      <c r="D336" s="51"/>
      <c r="E336" s="51"/>
      <c r="F336" s="51"/>
    </row>
    <row r="337" spans="2:6" s="38" customFormat="1" ht="15">
      <c r="B337" s="101"/>
      <c r="C337" s="101"/>
      <c r="D337" s="51"/>
      <c r="E337" s="51"/>
      <c r="F337" s="51"/>
    </row>
    <row r="338" spans="2:6" s="38" customFormat="1" ht="15">
      <c r="B338" s="101"/>
      <c r="C338" s="101"/>
      <c r="D338" s="51"/>
      <c r="E338" s="51"/>
      <c r="F338" s="51"/>
    </row>
    <row r="339" spans="2:6" s="38" customFormat="1" ht="15">
      <c r="B339" s="101"/>
      <c r="C339" s="101"/>
      <c r="D339" s="51"/>
      <c r="E339" s="51"/>
      <c r="F339" s="51"/>
    </row>
    <row r="340" spans="2:6" s="38" customFormat="1" ht="15">
      <c r="B340" s="101"/>
      <c r="C340" s="101"/>
      <c r="D340" s="51"/>
      <c r="E340" s="51"/>
      <c r="F340" s="51"/>
    </row>
    <row r="341" spans="2:6" s="38" customFormat="1" ht="15">
      <c r="B341" s="101"/>
      <c r="C341" s="101"/>
      <c r="D341" s="51"/>
      <c r="E341" s="51"/>
      <c r="F341" s="51"/>
    </row>
    <row r="342" spans="2:6" s="38" customFormat="1" ht="15">
      <c r="B342" s="101"/>
      <c r="C342" s="101"/>
      <c r="D342" s="51"/>
      <c r="E342" s="51"/>
      <c r="F342" s="51"/>
    </row>
    <row r="343" spans="2:6" s="38" customFormat="1" ht="15">
      <c r="B343" s="101"/>
      <c r="C343" s="101"/>
      <c r="D343" s="51"/>
      <c r="E343" s="51"/>
      <c r="F343" s="51"/>
    </row>
    <row r="344" spans="2:6" s="38" customFormat="1" ht="15">
      <c r="B344" s="101"/>
      <c r="C344" s="101"/>
      <c r="D344" s="51"/>
      <c r="E344" s="51"/>
      <c r="F344" s="51"/>
    </row>
    <row r="345" spans="2:6" s="38" customFormat="1" ht="15">
      <c r="B345" s="101"/>
      <c r="C345" s="101"/>
      <c r="D345" s="51"/>
      <c r="E345" s="51"/>
      <c r="F345" s="51"/>
    </row>
    <row r="346" spans="2:6" s="38" customFormat="1" ht="15">
      <c r="B346" s="51"/>
      <c r="C346" s="51"/>
      <c r="D346" s="51"/>
      <c r="E346" s="51"/>
      <c r="F346" s="51"/>
    </row>
    <row r="347" spans="2:6" s="38" customFormat="1" ht="15">
      <c r="B347" s="51"/>
      <c r="C347" s="51"/>
      <c r="D347" s="51"/>
      <c r="E347" s="51"/>
      <c r="F347" s="51"/>
    </row>
    <row r="348" spans="2:6" s="38" customFormat="1" ht="15">
      <c r="B348" s="51"/>
      <c r="C348" s="51"/>
      <c r="D348" s="51"/>
      <c r="E348" s="51"/>
      <c r="F348" s="51"/>
    </row>
    <row r="349" spans="2:6" s="38" customFormat="1" ht="15">
      <c r="B349" s="51"/>
      <c r="C349" s="51"/>
      <c r="D349" s="51"/>
      <c r="E349" s="51"/>
      <c r="F349" s="51"/>
    </row>
    <row r="350" spans="2:6" s="38" customFormat="1" ht="15">
      <c r="B350" s="51"/>
      <c r="C350" s="51"/>
      <c r="D350" s="51"/>
      <c r="E350" s="51"/>
      <c r="F350" s="51"/>
    </row>
    <row r="351" spans="2:6" s="38" customFormat="1" ht="15">
      <c r="B351" s="51"/>
      <c r="C351" s="51"/>
      <c r="D351" s="51"/>
      <c r="E351" s="51"/>
      <c r="F351" s="51"/>
    </row>
    <row r="352" spans="2:6" s="38" customFormat="1" ht="15">
      <c r="B352" s="51"/>
      <c r="C352" s="51"/>
      <c r="D352" s="51"/>
      <c r="E352" s="51"/>
      <c r="F352" s="51"/>
    </row>
    <row r="353" spans="2:6" s="38" customFormat="1" ht="15">
      <c r="B353" s="51"/>
      <c r="C353" s="51"/>
      <c r="D353" s="51"/>
      <c r="E353" s="51"/>
      <c r="F353" s="51"/>
    </row>
    <row r="354" spans="2:6" s="38" customFormat="1" ht="15">
      <c r="B354" s="51"/>
      <c r="C354" s="51"/>
      <c r="D354" s="51"/>
      <c r="E354" s="51"/>
      <c r="F354" s="51"/>
    </row>
    <row r="355" spans="2:6" s="38" customFormat="1" ht="15">
      <c r="B355" s="51"/>
      <c r="C355" s="51"/>
      <c r="D355" s="51"/>
      <c r="E355" s="51"/>
      <c r="F355" s="51"/>
    </row>
    <row r="356" s="38" customFormat="1" ht="15"/>
    <row r="357" s="38" customFormat="1" ht="15"/>
    <row r="358" s="38" customFormat="1" ht="15"/>
    <row r="359" s="38" customFormat="1" ht="15"/>
    <row r="360" s="38" customFormat="1" ht="15"/>
    <row r="361" s="38" customFormat="1" ht="15"/>
    <row r="362" s="38" customFormat="1" ht="15"/>
    <row r="363" s="38" customFormat="1" ht="15"/>
    <row r="364" s="38" customFormat="1" ht="15"/>
    <row r="365" s="38" customFormat="1" ht="15"/>
    <row r="366" s="38" customFormat="1" ht="15"/>
    <row r="367" s="38" customFormat="1" ht="15"/>
    <row r="368" s="38" customFormat="1" ht="15"/>
    <row r="369" s="38" customFormat="1" ht="15"/>
    <row r="370" s="38" customFormat="1" ht="15"/>
    <row r="371" s="38" customFormat="1" ht="15"/>
    <row r="372" s="38" customFormat="1" ht="15"/>
    <row r="373" s="38" customFormat="1" ht="15"/>
    <row r="374" s="38" customFormat="1" ht="15"/>
    <row r="375" s="38" customFormat="1" ht="15"/>
    <row r="376" s="38" customFormat="1" ht="15"/>
    <row r="377" s="38" customFormat="1" ht="15"/>
    <row r="378" s="38" customFormat="1" ht="15"/>
    <row r="379" s="38" customFormat="1" ht="15"/>
    <row r="380" s="38" customFormat="1" ht="15"/>
    <row r="381" s="38" customFormat="1" ht="15"/>
    <row r="382" s="38" customFormat="1" ht="15"/>
    <row r="383" s="38" customFormat="1" ht="15"/>
    <row r="384" s="38" customFormat="1" ht="15"/>
    <row r="385" s="38" customFormat="1" ht="15"/>
    <row r="386" s="38" customFormat="1" ht="15"/>
    <row r="387" s="38" customFormat="1" ht="15"/>
    <row r="388" s="38" customFormat="1" ht="15"/>
    <row r="389" s="38" customFormat="1" ht="15"/>
    <row r="390" s="38" customFormat="1" ht="15"/>
    <row r="391" s="38" customFormat="1" ht="15"/>
    <row r="392" s="38" customFormat="1" ht="15"/>
    <row r="393" s="38" customFormat="1" ht="15"/>
    <row r="394" s="38" customFormat="1" ht="15"/>
    <row r="395" s="38" customFormat="1" ht="15"/>
    <row r="396" s="38" customFormat="1" ht="15"/>
    <row r="397" s="38" customFormat="1" ht="15"/>
    <row r="398" s="38" customFormat="1" ht="15"/>
    <row r="399" s="38" customFormat="1" ht="15"/>
    <row r="400" s="38" customFormat="1" ht="15"/>
    <row r="401" s="38" customFormat="1" ht="15"/>
    <row r="402" s="38" customFormat="1" ht="15"/>
    <row r="403" s="38" customFormat="1" ht="15"/>
    <row r="404" s="38" customFormat="1" ht="15"/>
    <row r="405" s="38" customFormat="1" ht="15"/>
    <row r="406" s="38" customFormat="1" ht="15"/>
    <row r="407" s="38" customFormat="1" ht="15"/>
    <row r="408" s="38" customFormat="1" ht="15"/>
    <row r="409" s="38" customFormat="1" ht="15"/>
    <row r="410" s="38" customFormat="1" ht="15"/>
    <row r="411" s="38" customFormat="1" ht="15"/>
    <row r="412" s="38" customFormat="1" ht="15"/>
    <row r="413" s="38" customFormat="1" ht="15"/>
    <row r="414" s="38" customFormat="1" ht="15"/>
    <row r="415" s="38" customFormat="1" ht="15"/>
    <row r="416" s="38" customFormat="1" ht="15"/>
    <row r="417" s="38" customFormat="1" ht="15"/>
    <row r="418" s="38" customFormat="1" ht="15"/>
    <row r="419" s="38" customFormat="1" ht="15"/>
    <row r="420" s="38" customFormat="1" ht="15"/>
    <row r="421" s="38" customFormat="1" ht="15"/>
    <row r="422" s="38" customFormat="1" ht="15"/>
    <row r="423" s="38" customFormat="1" ht="15"/>
    <row r="424" s="38" customFormat="1" ht="15"/>
    <row r="425" s="38" customFormat="1" ht="15"/>
    <row r="426" s="38" customFormat="1" ht="15"/>
    <row r="427" s="38" customFormat="1" ht="15"/>
    <row r="428" s="38" customFormat="1" ht="15"/>
    <row r="429" s="38" customFormat="1" ht="15"/>
    <row r="430" s="38" customFormat="1" ht="15"/>
    <row r="431" spans="2:3" ht="15">
      <c r="B431" s="38"/>
      <c r="C431" s="38"/>
    </row>
    <row r="432" spans="2:3" ht="15">
      <c r="B432" s="38"/>
      <c r="C432" s="38"/>
    </row>
    <row r="433" spans="2:3" ht="15">
      <c r="B433" s="38"/>
      <c r="C433" s="38"/>
    </row>
    <row r="434" spans="2:3" ht="15">
      <c r="B434" s="38"/>
      <c r="C434" s="38"/>
    </row>
    <row r="435" spans="2:3" ht="15">
      <c r="B435" s="38"/>
      <c r="C435" s="38"/>
    </row>
    <row r="436" spans="2:3" ht="15">
      <c r="B436" s="38"/>
      <c r="C436" s="38"/>
    </row>
    <row r="437" spans="2:3" ht="15">
      <c r="B437" s="38"/>
      <c r="C437" s="38"/>
    </row>
    <row r="438" spans="2:3" ht="15">
      <c r="B438" s="38"/>
      <c r="C438" s="38"/>
    </row>
    <row r="439" spans="2:3" ht="15">
      <c r="B439" s="38"/>
      <c r="C439" s="38"/>
    </row>
    <row r="440" spans="2:3" ht="15">
      <c r="B440" s="38"/>
      <c r="C440" s="38"/>
    </row>
    <row r="441" spans="2:3" ht="15">
      <c r="B441" s="38"/>
      <c r="C441" s="38"/>
    </row>
    <row r="442" spans="2:3" ht="15">
      <c r="B442" s="38"/>
      <c r="C442" s="38"/>
    </row>
    <row r="443" spans="2:3" ht="15">
      <c r="B443" s="38"/>
      <c r="C443" s="38"/>
    </row>
    <row r="444" spans="2:3" ht="15">
      <c r="B444" s="38"/>
      <c r="C444" s="38"/>
    </row>
    <row r="445" spans="2:3" ht="15">
      <c r="B445" s="38"/>
      <c r="C445" s="38"/>
    </row>
    <row r="446" spans="2:3" ht="15">
      <c r="B446" s="38"/>
      <c r="C446" s="38"/>
    </row>
    <row r="447" spans="2:3" ht="15">
      <c r="B447" s="38"/>
      <c r="C447" s="38"/>
    </row>
    <row r="448" spans="2:3" ht="15">
      <c r="B448" s="38"/>
      <c r="C448" s="38"/>
    </row>
    <row r="449" spans="2:3" ht="15">
      <c r="B449" s="38"/>
      <c r="C449" s="38"/>
    </row>
    <row r="450" spans="2:3" ht="15">
      <c r="B450" s="38"/>
      <c r="C450" s="38"/>
    </row>
    <row r="451" spans="2:3" ht="15">
      <c r="B451" s="38"/>
      <c r="C451" s="38"/>
    </row>
    <row r="452" spans="2:3" ht="15">
      <c r="B452" s="38"/>
      <c r="C452" s="38"/>
    </row>
    <row r="453" spans="2:3" ht="15">
      <c r="B453" s="38"/>
      <c r="C453" s="38"/>
    </row>
    <row r="454" spans="2:3" ht="15">
      <c r="B454" s="38"/>
      <c r="C454" s="38"/>
    </row>
    <row r="455" spans="2:3" ht="15">
      <c r="B455" s="38"/>
      <c r="C455" s="38"/>
    </row>
    <row r="456" spans="2:3" ht="15">
      <c r="B456" s="38"/>
      <c r="C456" s="38"/>
    </row>
    <row r="457" spans="2:3" ht="15">
      <c r="B457" s="38"/>
      <c r="C457" s="38"/>
    </row>
    <row r="458" spans="2:3" ht="15">
      <c r="B458" s="38"/>
      <c r="C458" s="38"/>
    </row>
    <row r="459" spans="2:3" ht="15">
      <c r="B459" s="38"/>
      <c r="C459" s="38"/>
    </row>
    <row r="460" spans="2:3" ht="15">
      <c r="B460" s="38"/>
      <c r="C460" s="38"/>
    </row>
    <row r="461" spans="2:3" ht="15">
      <c r="B461" s="38"/>
      <c r="C461" s="38"/>
    </row>
    <row r="462" spans="2:3" ht="15">
      <c r="B462" s="38"/>
      <c r="C462" s="38"/>
    </row>
    <row r="463" spans="2:3" ht="15">
      <c r="B463" s="38"/>
      <c r="C463" s="38"/>
    </row>
    <row r="464" spans="2:3" ht="15">
      <c r="B464" s="38"/>
      <c r="C464" s="38"/>
    </row>
    <row r="465" spans="2:3" ht="15">
      <c r="B465" s="38"/>
      <c r="C465" s="38"/>
    </row>
    <row r="466" spans="2:3" ht="15">
      <c r="B466" s="38"/>
      <c r="C466" s="38"/>
    </row>
    <row r="467" spans="2:3" ht="15">
      <c r="B467" s="38"/>
      <c r="C467" s="38"/>
    </row>
    <row r="468" spans="2:3" ht="15">
      <c r="B468" s="38"/>
      <c r="C468" s="38"/>
    </row>
    <row r="469" spans="2:3" ht="15">
      <c r="B469" s="38"/>
      <c r="C469" s="38"/>
    </row>
    <row r="470" spans="2:3" ht="15">
      <c r="B470" s="38"/>
      <c r="C470" s="38"/>
    </row>
    <row r="471" spans="2:3" ht="15">
      <c r="B471" s="38"/>
      <c r="C471" s="38"/>
    </row>
    <row r="472" spans="2:3" ht="15">
      <c r="B472" s="38"/>
      <c r="C472" s="38"/>
    </row>
    <row r="473" spans="2:3" ht="15">
      <c r="B473" s="38"/>
      <c r="C473" s="38"/>
    </row>
    <row r="474" spans="2:3" ht="15">
      <c r="B474" s="38"/>
      <c r="C474" s="38"/>
    </row>
    <row r="475" spans="2:3" ht="15">
      <c r="B475" s="38"/>
      <c r="C475" s="38"/>
    </row>
    <row r="476" spans="2:3" ht="15">
      <c r="B476" s="38"/>
      <c r="C476" s="38"/>
    </row>
    <row r="477" spans="2:3" ht="15">
      <c r="B477" s="38"/>
      <c r="C477" s="38"/>
    </row>
    <row r="478" spans="2:3" ht="15">
      <c r="B478" s="38"/>
      <c r="C478" s="38"/>
    </row>
    <row r="479" spans="2:3" ht="15">
      <c r="B479" s="38"/>
      <c r="C479" s="38"/>
    </row>
    <row r="480" spans="2:3" ht="15">
      <c r="B480" s="38"/>
      <c r="C480" s="38"/>
    </row>
    <row r="481" spans="2:3" ht="15">
      <c r="B481" s="38"/>
      <c r="C481" s="38"/>
    </row>
    <row r="482" spans="2:3" ht="15">
      <c r="B482" s="38"/>
      <c r="C482" s="38"/>
    </row>
    <row r="483" spans="2:3" ht="15">
      <c r="B483" s="38"/>
      <c r="C483" s="38"/>
    </row>
    <row r="484" spans="2:3" ht="15">
      <c r="B484" s="38"/>
      <c r="C484" s="38"/>
    </row>
    <row r="485" spans="2:3" ht="15">
      <c r="B485" s="38"/>
      <c r="C485" s="38"/>
    </row>
    <row r="486" spans="2:3" ht="15">
      <c r="B486" s="38"/>
      <c r="C486" s="38"/>
    </row>
    <row r="487" spans="2:3" ht="15">
      <c r="B487" s="38"/>
      <c r="C487" s="38"/>
    </row>
    <row r="488" spans="2:3" ht="15">
      <c r="B488" s="38"/>
      <c r="C488" s="38"/>
    </row>
    <row r="489" spans="2:3" ht="15">
      <c r="B489" s="38"/>
      <c r="C489" s="38"/>
    </row>
    <row r="490" spans="2:3" ht="15">
      <c r="B490" s="38"/>
      <c r="C490" s="38"/>
    </row>
    <row r="491" spans="2:3" ht="15">
      <c r="B491" s="38"/>
      <c r="C491" s="38"/>
    </row>
    <row r="492" spans="2:3" ht="15">
      <c r="B492" s="38"/>
      <c r="C492" s="38"/>
    </row>
    <row r="493" spans="2:3" ht="15">
      <c r="B493" s="38"/>
      <c r="C493" s="38"/>
    </row>
    <row r="494" spans="2:3" ht="15">
      <c r="B494" s="38"/>
      <c r="C494" s="38"/>
    </row>
    <row r="495" spans="2:3" ht="15">
      <c r="B495" s="38"/>
      <c r="C495" s="38"/>
    </row>
    <row r="496" spans="2:3" ht="15">
      <c r="B496" s="38"/>
      <c r="C496" s="38"/>
    </row>
    <row r="497" spans="2:3" ht="15">
      <c r="B497" s="38"/>
      <c r="C497" s="38"/>
    </row>
    <row r="498" spans="2:3" ht="15">
      <c r="B498" s="38"/>
      <c r="C498" s="38"/>
    </row>
    <row r="499" spans="2:3" ht="15">
      <c r="B499" s="38"/>
      <c r="C499" s="38"/>
    </row>
    <row r="500" spans="2:3" ht="15">
      <c r="B500" s="38"/>
      <c r="C500" s="38"/>
    </row>
    <row r="501" spans="2:3" ht="15">
      <c r="B501" s="38"/>
      <c r="C501" s="38"/>
    </row>
    <row r="502" spans="2:3" ht="15">
      <c r="B502" s="38"/>
      <c r="C502" s="38"/>
    </row>
    <row r="503" spans="2:3" ht="15">
      <c r="B503" s="38"/>
      <c r="C503" s="38"/>
    </row>
    <row r="504" spans="2:3" ht="15">
      <c r="B504" s="38"/>
      <c r="C504" s="38"/>
    </row>
    <row r="505" spans="2:3" ht="15">
      <c r="B505" s="38"/>
      <c r="C505" s="38"/>
    </row>
    <row r="506" spans="2:3" ht="15">
      <c r="B506" s="38"/>
      <c r="C506" s="38"/>
    </row>
    <row r="507" spans="2:3" ht="15">
      <c r="B507" s="38"/>
      <c r="C507" s="38"/>
    </row>
    <row r="508" spans="2:3" ht="15">
      <c r="B508" s="38"/>
      <c r="C508" s="38"/>
    </row>
    <row r="509" spans="2:3" ht="15">
      <c r="B509" s="38"/>
      <c r="C509" s="38"/>
    </row>
  </sheetData>
  <sheetProtection password="CFC9" sheet="1" objects="1" scenarios="1"/>
  <mergeCells count="11">
    <mergeCell ref="E13:F13"/>
    <mergeCell ref="B21:C21"/>
    <mergeCell ref="B22:C22"/>
    <mergeCell ref="E18:F18"/>
    <mergeCell ref="H14:L15"/>
    <mergeCell ref="B5:C5"/>
    <mergeCell ref="E5:F5"/>
    <mergeCell ref="B11:F11"/>
    <mergeCell ref="B12:C12"/>
    <mergeCell ref="E12:F12"/>
    <mergeCell ref="B13:C13"/>
  </mergeCell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47"/>
  <sheetViews>
    <sheetView zoomScalePageLayoutView="0" workbookViewId="0" topLeftCell="A1">
      <selection activeCell="B5" sqref="B5"/>
    </sheetView>
  </sheetViews>
  <sheetFormatPr defaultColWidth="9.140625" defaultRowHeight="15"/>
  <cols>
    <col min="1" max="2" width="16.421875" style="0" customWidth="1"/>
    <col min="3" max="3" width="18.7109375" style="0" customWidth="1"/>
    <col min="4" max="4" width="19.7109375" style="0" customWidth="1"/>
    <col min="5" max="5" width="25.00390625" style="0" customWidth="1"/>
    <col min="6" max="7" width="16.421875" style="0" customWidth="1"/>
    <col min="8" max="8" width="21.7109375" style="0" customWidth="1"/>
    <col min="9" max="9" width="16.421875" style="0" customWidth="1"/>
  </cols>
  <sheetData>
    <row r="1" spans="1:9" ht="47.25">
      <c r="A1" s="4" t="s">
        <v>9</v>
      </c>
      <c r="B1" s="4" t="s">
        <v>8</v>
      </c>
      <c r="C1" s="5" t="s">
        <v>7</v>
      </c>
      <c r="D1" s="5" t="s">
        <v>6</v>
      </c>
      <c r="E1" s="4" t="s">
        <v>5</v>
      </c>
      <c r="F1" s="4" t="s">
        <v>4</v>
      </c>
      <c r="G1" s="4" t="s">
        <v>3</v>
      </c>
      <c r="H1" s="4" t="s">
        <v>2</v>
      </c>
      <c r="I1" s="4" t="s">
        <v>1</v>
      </c>
    </row>
    <row r="2" spans="1:9" ht="15">
      <c r="A2" s="2" t="s">
        <v>17</v>
      </c>
      <c r="B2" s="1">
        <v>399</v>
      </c>
      <c r="C2" s="52" t="s">
        <v>30</v>
      </c>
      <c r="D2" s="7">
        <v>1</v>
      </c>
      <c r="E2" s="50">
        <f>'Start Here'!D7</f>
        <v>0</v>
      </c>
      <c r="F2" s="53">
        <f>0.02*'Start Here'!D7</f>
        <v>0</v>
      </c>
      <c r="G2" s="1">
        <v>0</v>
      </c>
      <c r="H2" s="1">
        <v>0</v>
      </c>
      <c r="I2" s="1">
        <v>0</v>
      </c>
    </row>
    <row r="3" spans="1:9" ht="15">
      <c r="A3" s="2" t="s">
        <v>17</v>
      </c>
      <c r="B3" s="1">
        <v>400</v>
      </c>
      <c r="C3" s="7">
        <v>0.71</v>
      </c>
      <c r="D3" s="7">
        <v>1.41</v>
      </c>
      <c r="E3" s="1">
        <v>284</v>
      </c>
      <c r="F3" s="1">
        <v>3</v>
      </c>
      <c r="G3" s="1">
        <v>0</v>
      </c>
      <c r="H3" s="1">
        <v>0</v>
      </c>
      <c r="I3" s="1">
        <v>0</v>
      </c>
    </row>
    <row r="4" spans="1:9" ht="15">
      <c r="A4" s="2" t="s">
        <v>17</v>
      </c>
      <c r="B4" s="1">
        <v>600</v>
      </c>
      <c r="C4" s="7">
        <v>0.608</v>
      </c>
      <c r="D4" s="7">
        <v>1.64</v>
      </c>
      <c r="E4" s="1">
        <v>365</v>
      </c>
      <c r="F4" s="1">
        <v>4</v>
      </c>
      <c r="G4" s="1">
        <v>0</v>
      </c>
      <c r="H4" s="1">
        <v>0</v>
      </c>
      <c r="I4" s="1">
        <v>0</v>
      </c>
    </row>
    <row r="5" spans="1:9" ht="15">
      <c r="A5" s="2" t="s">
        <v>17</v>
      </c>
      <c r="B5" s="1">
        <v>800</v>
      </c>
      <c r="C5" s="7">
        <v>0.548</v>
      </c>
      <c r="D5" s="7">
        <v>1.83</v>
      </c>
      <c r="E5" s="1">
        <v>438</v>
      </c>
      <c r="F5" s="1">
        <v>5</v>
      </c>
      <c r="G5" s="1">
        <v>0</v>
      </c>
      <c r="H5" s="1">
        <v>0</v>
      </c>
      <c r="I5" s="1">
        <v>0</v>
      </c>
    </row>
    <row r="6" spans="1:10" ht="15">
      <c r="A6" s="2" t="s">
        <v>17</v>
      </c>
      <c r="B6" s="1">
        <v>1000</v>
      </c>
      <c r="C6" s="7">
        <v>0.506</v>
      </c>
      <c r="D6" s="7">
        <v>1.98</v>
      </c>
      <c r="E6" s="1">
        <v>506</v>
      </c>
      <c r="F6" s="1">
        <v>6</v>
      </c>
      <c r="G6" s="1">
        <v>759</v>
      </c>
      <c r="H6" s="1" t="s">
        <v>0</v>
      </c>
      <c r="I6" s="6">
        <v>9</v>
      </c>
      <c r="J6" t="s">
        <v>31</v>
      </c>
    </row>
    <row r="7" spans="1:9" ht="15">
      <c r="A7" s="2" t="s">
        <v>17</v>
      </c>
      <c r="B7" s="1">
        <v>1200</v>
      </c>
      <c r="C7" s="7">
        <v>0.433</v>
      </c>
      <c r="D7" s="7">
        <v>2.31</v>
      </c>
      <c r="E7" s="1">
        <v>520</v>
      </c>
      <c r="F7" s="1">
        <v>6</v>
      </c>
      <c r="G7" s="1">
        <v>780</v>
      </c>
      <c r="H7" s="1" t="s">
        <v>0</v>
      </c>
      <c r="I7" s="1">
        <v>9</v>
      </c>
    </row>
    <row r="8" spans="1:9" ht="15">
      <c r="A8" s="2" t="s">
        <v>17</v>
      </c>
      <c r="B8" s="1">
        <v>1400</v>
      </c>
      <c r="C8" s="7">
        <v>0.379</v>
      </c>
      <c r="D8" s="7">
        <v>2.64</v>
      </c>
      <c r="E8" s="1">
        <v>530</v>
      </c>
      <c r="F8" s="1">
        <v>6</v>
      </c>
      <c r="G8" s="1">
        <v>795</v>
      </c>
      <c r="H8" s="1" t="s">
        <v>0</v>
      </c>
      <c r="I8" s="1">
        <v>9</v>
      </c>
    </row>
    <row r="9" spans="1:9" ht="15">
      <c r="A9" s="2" t="s">
        <v>17</v>
      </c>
      <c r="B9" s="1">
        <v>1600</v>
      </c>
      <c r="C9" s="7">
        <v>0.371</v>
      </c>
      <c r="D9" s="7">
        <v>2.69</v>
      </c>
      <c r="E9" s="1">
        <v>594</v>
      </c>
      <c r="F9" s="1">
        <v>7</v>
      </c>
      <c r="G9" s="1">
        <v>891</v>
      </c>
      <c r="H9" s="1" t="s">
        <v>0</v>
      </c>
      <c r="I9" s="1">
        <v>11</v>
      </c>
    </row>
    <row r="10" spans="1:9" ht="15">
      <c r="A10" s="2" t="s">
        <v>17</v>
      </c>
      <c r="B10" s="1">
        <v>2000</v>
      </c>
      <c r="C10" s="7">
        <v>0.303</v>
      </c>
      <c r="D10" s="7">
        <v>3.3</v>
      </c>
      <c r="E10" s="1">
        <v>606</v>
      </c>
      <c r="F10" s="1">
        <v>7</v>
      </c>
      <c r="G10" s="1">
        <v>909</v>
      </c>
      <c r="H10" s="1" t="s">
        <v>0</v>
      </c>
      <c r="I10" s="1">
        <v>11</v>
      </c>
    </row>
    <row r="11" spans="1:9" ht="15">
      <c r="A11" s="2" t="s">
        <v>17</v>
      </c>
      <c r="B11" s="1">
        <v>2400</v>
      </c>
      <c r="C11" s="7">
        <v>0.256</v>
      </c>
      <c r="D11" s="7">
        <v>3.91</v>
      </c>
      <c r="E11" s="1">
        <v>614</v>
      </c>
      <c r="F11" s="1">
        <v>7</v>
      </c>
      <c r="G11" s="1">
        <v>1228</v>
      </c>
      <c r="H11" s="1" t="s">
        <v>0</v>
      </c>
      <c r="I11" s="1">
        <v>14</v>
      </c>
    </row>
    <row r="12" spans="1:9" ht="15">
      <c r="A12" s="2" t="s">
        <v>17</v>
      </c>
      <c r="B12" s="1">
        <v>2800</v>
      </c>
      <c r="C12" s="7">
        <v>0.242</v>
      </c>
      <c r="D12" s="7">
        <v>4.13</v>
      </c>
      <c r="E12" s="1">
        <v>678</v>
      </c>
      <c r="F12" s="1">
        <v>8</v>
      </c>
      <c r="G12" s="1">
        <v>1356</v>
      </c>
      <c r="H12" s="1" t="s">
        <v>0</v>
      </c>
      <c r="I12" s="1">
        <v>16</v>
      </c>
    </row>
    <row r="13" spans="1:9" ht="15">
      <c r="A13" s="2" t="s">
        <v>17</v>
      </c>
      <c r="B13" s="1">
        <v>3200</v>
      </c>
      <c r="C13" s="7">
        <v>0.214</v>
      </c>
      <c r="D13" s="7">
        <v>4.68</v>
      </c>
      <c r="E13" s="1">
        <v>684</v>
      </c>
      <c r="F13" s="1">
        <v>8</v>
      </c>
      <c r="G13" s="1">
        <v>1368</v>
      </c>
      <c r="H13" s="1" t="s">
        <v>0</v>
      </c>
      <c r="I13" s="1">
        <v>16</v>
      </c>
    </row>
    <row r="14" spans="1:9" ht="15">
      <c r="A14" s="2" t="s">
        <v>17</v>
      </c>
      <c r="B14" s="1">
        <v>3600</v>
      </c>
      <c r="C14" s="7">
        <v>0.191</v>
      </c>
      <c r="D14" s="7">
        <v>5.23</v>
      </c>
      <c r="E14" s="1">
        <v>688</v>
      </c>
      <c r="F14" s="1">
        <v>8</v>
      </c>
      <c r="G14" s="1">
        <v>1376</v>
      </c>
      <c r="H14" s="1" t="s">
        <v>0</v>
      </c>
      <c r="I14" s="1">
        <v>16</v>
      </c>
    </row>
    <row r="15" spans="1:9" ht="15">
      <c r="A15" s="2" t="s">
        <v>17</v>
      </c>
      <c r="B15" s="1">
        <v>4000</v>
      </c>
      <c r="C15" s="7">
        <v>0.173</v>
      </c>
      <c r="D15" s="7">
        <v>5.8</v>
      </c>
      <c r="E15" s="1">
        <v>690</v>
      </c>
      <c r="F15" s="1">
        <v>8</v>
      </c>
      <c r="G15" s="1">
        <v>1380</v>
      </c>
      <c r="H15" s="1" t="s">
        <v>0</v>
      </c>
      <c r="I15" s="1">
        <v>16</v>
      </c>
    </row>
    <row r="16" spans="1:9" ht="15">
      <c r="A16" s="2" t="s">
        <v>17</v>
      </c>
      <c r="B16" s="1">
        <v>5000</v>
      </c>
      <c r="C16" s="7">
        <v>0.139</v>
      </c>
      <c r="D16" s="7">
        <v>7.18</v>
      </c>
      <c r="E16" s="1">
        <v>696</v>
      </c>
      <c r="F16" s="1">
        <v>8</v>
      </c>
      <c r="G16" s="1">
        <v>1392</v>
      </c>
      <c r="H16" s="1" t="s">
        <v>0</v>
      </c>
      <c r="I16" s="1">
        <v>16</v>
      </c>
    </row>
    <row r="17" spans="1:9" ht="15">
      <c r="A17" s="2" t="s">
        <v>17</v>
      </c>
      <c r="B17" s="1">
        <v>6000</v>
      </c>
      <c r="C17" s="7">
        <v>0.127</v>
      </c>
      <c r="D17" s="7">
        <v>7.87</v>
      </c>
      <c r="E17" s="1">
        <v>762</v>
      </c>
      <c r="F17" s="1">
        <v>9</v>
      </c>
      <c r="G17" s="1">
        <v>1524</v>
      </c>
      <c r="H17" s="1" t="s">
        <v>0</v>
      </c>
      <c r="I17" s="1">
        <v>18</v>
      </c>
    </row>
    <row r="18" spans="1:9" ht="15">
      <c r="A18" s="2" t="s">
        <v>17</v>
      </c>
      <c r="B18" s="1">
        <v>8000</v>
      </c>
      <c r="C18" s="7">
        <v>0.096</v>
      </c>
      <c r="D18" s="7">
        <v>10.44</v>
      </c>
      <c r="E18" s="1">
        <v>766</v>
      </c>
      <c r="F18" s="1">
        <v>9</v>
      </c>
      <c r="G18" s="1">
        <v>1532</v>
      </c>
      <c r="H18" s="1" t="s">
        <v>0</v>
      </c>
      <c r="I18" s="1">
        <v>18</v>
      </c>
    </row>
    <row r="19" spans="1:9" ht="15">
      <c r="A19" s="2" t="s">
        <v>17</v>
      </c>
      <c r="B19" s="1">
        <v>10000</v>
      </c>
      <c r="C19" s="7">
        <v>0.077</v>
      </c>
      <c r="D19" s="7">
        <v>12.99</v>
      </c>
      <c r="E19" s="1">
        <v>770</v>
      </c>
      <c r="F19" s="1">
        <v>9</v>
      </c>
      <c r="G19" s="1">
        <v>1540</v>
      </c>
      <c r="H19" s="1" t="s">
        <v>0</v>
      </c>
      <c r="I19" s="1">
        <v>18</v>
      </c>
    </row>
    <row r="20" spans="1:9" ht="15">
      <c r="A20" s="2" t="s">
        <v>17</v>
      </c>
      <c r="B20" s="1">
        <v>14000</v>
      </c>
      <c r="C20" s="7">
        <v>0.055</v>
      </c>
      <c r="D20" s="7">
        <v>18.09</v>
      </c>
      <c r="E20" s="1">
        <v>774</v>
      </c>
      <c r="F20" s="1">
        <v>9</v>
      </c>
      <c r="G20" s="1">
        <v>1548</v>
      </c>
      <c r="H20" s="1" t="s">
        <v>0</v>
      </c>
      <c r="I20" s="1">
        <v>18</v>
      </c>
    </row>
    <row r="21" spans="1:9" ht="15">
      <c r="A21" s="2" t="s">
        <v>17</v>
      </c>
      <c r="B21" s="1">
        <v>18000</v>
      </c>
      <c r="C21" s="7">
        <v>0.043</v>
      </c>
      <c r="D21" s="7">
        <v>23.2</v>
      </c>
      <c r="E21" s="1">
        <v>776</v>
      </c>
      <c r="F21" s="1">
        <v>9</v>
      </c>
      <c r="G21" s="1">
        <v>1552</v>
      </c>
      <c r="H21" s="1" t="s">
        <v>0</v>
      </c>
      <c r="I21" s="1">
        <v>18</v>
      </c>
    </row>
    <row r="22" spans="1:9" ht="15">
      <c r="A22" s="2" t="s">
        <v>17</v>
      </c>
      <c r="B22" s="1">
        <v>24000</v>
      </c>
      <c r="C22" s="7">
        <v>0.032</v>
      </c>
      <c r="D22" s="7">
        <v>30.85</v>
      </c>
      <c r="E22" s="1">
        <v>778</v>
      </c>
      <c r="F22" s="1">
        <v>9</v>
      </c>
      <c r="G22" s="1">
        <v>1556</v>
      </c>
      <c r="H22" s="1" t="s">
        <v>0</v>
      </c>
      <c r="I22" s="1">
        <v>18</v>
      </c>
    </row>
    <row r="23" spans="1:9" ht="15">
      <c r="A23" s="2" t="s">
        <v>17</v>
      </c>
      <c r="B23" s="1">
        <v>30000</v>
      </c>
      <c r="C23" s="7">
        <v>0.026</v>
      </c>
      <c r="D23" s="7">
        <v>38.56</v>
      </c>
      <c r="E23" s="1">
        <v>778</v>
      </c>
      <c r="F23" s="1">
        <v>9</v>
      </c>
      <c r="G23" s="1">
        <v>1556</v>
      </c>
      <c r="H23" s="1" t="s">
        <v>0</v>
      </c>
      <c r="I23" s="1">
        <v>18</v>
      </c>
    </row>
    <row r="24" spans="1:9" ht="15">
      <c r="A24" s="2" t="s">
        <v>17</v>
      </c>
      <c r="B24" s="1">
        <v>40000</v>
      </c>
      <c r="C24" s="7">
        <v>0.021</v>
      </c>
      <c r="D24" s="7">
        <v>47.51</v>
      </c>
      <c r="E24" s="1">
        <v>842</v>
      </c>
      <c r="F24" s="1">
        <v>10</v>
      </c>
      <c r="G24" s="1">
        <v>1684</v>
      </c>
      <c r="H24" s="1" t="s">
        <v>0</v>
      </c>
      <c r="I24" s="1">
        <v>20</v>
      </c>
    </row>
    <row r="25" spans="1:9" ht="15">
      <c r="A25" s="2" t="s">
        <v>17</v>
      </c>
      <c r="B25" s="1">
        <v>49999</v>
      </c>
      <c r="C25" s="7">
        <v>0.017</v>
      </c>
      <c r="D25" s="7">
        <v>59.38</v>
      </c>
      <c r="E25" s="1">
        <v>842</v>
      </c>
      <c r="F25" s="1">
        <v>10</v>
      </c>
      <c r="G25" s="1">
        <v>1684</v>
      </c>
      <c r="H25" s="1" t="s">
        <v>0</v>
      </c>
      <c r="I25" s="1">
        <v>20</v>
      </c>
    </row>
    <row r="26" spans="1:9" ht="15">
      <c r="A26" s="2" t="s">
        <v>17</v>
      </c>
      <c r="B26" s="1">
        <v>50000</v>
      </c>
      <c r="C26" s="51" t="e">
        <f>ROUND(1/D26,1)</f>
        <v>#DIV/0!</v>
      </c>
      <c r="D26" s="51">
        <f>ROUND(('Start Here'!D7)/E26,1)</f>
        <v>0</v>
      </c>
      <c r="E26" s="1">
        <v>846</v>
      </c>
      <c r="F26" s="1">
        <v>10</v>
      </c>
      <c r="G26" s="1">
        <v>1692</v>
      </c>
      <c r="H26" s="1" t="s">
        <v>0</v>
      </c>
      <c r="I26" s="1">
        <v>20</v>
      </c>
    </row>
    <row r="27" spans="1:9" ht="15">
      <c r="A27" s="2" t="s">
        <v>18</v>
      </c>
      <c r="B27" s="1">
        <v>0</v>
      </c>
      <c r="C27" s="52" t="s">
        <v>30</v>
      </c>
      <c r="D27" s="2">
        <v>1</v>
      </c>
      <c r="E27" s="54">
        <f>'Start Here'!D7</f>
        <v>0</v>
      </c>
      <c r="F27" s="54">
        <f>0.01*'Start Here'!D7</f>
        <v>0</v>
      </c>
      <c r="G27" s="6">
        <v>0</v>
      </c>
      <c r="H27" s="6">
        <v>0</v>
      </c>
      <c r="I27" s="6">
        <v>0</v>
      </c>
    </row>
    <row r="28" spans="1:9" ht="15">
      <c r="A28" s="2" t="s">
        <v>18</v>
      </c>
      <c r="B28" s="1">
        <v>1000</v>
      </c>
      <c r="C28" s="7">
        <v>0.704</v>
      </c>
      <c r="D28" s="7">
        <v>1.42</v>
      </c>
      <c r="E28" s="1">
        <v>704</v>
      </c>
      <c r="F28" s="1">
        <v>4</v>
      </c>
      <c r="G28" s="6">
        <v>0</v>
      </c>
      <c r="H28" s="6">
        <v>0</v>
      </c>
      <c r="I28" s="6">
        <v>0</v>
      </c>
    </row>
    <row r="29" spans="1:9" ht="15">
      <c r="A29" s="2" t="s">
        <v>18</v>
      </c>
      <c r="B29" s="1">
        <v>1200</v>
      </c>
      <c r="C29" s="7">
        <v>0.608</v>
      </c>
      <c r="D29" s="7">
        <v>1.64</v>
      </c>
      <c r="E29" s="1">
        <v>730</v>
      </c>
      <c r="F29" s="1">
        <v>4</v>
      </c>
      <c r="G29" s="6">
        <v>0</v>
      </c>
      <c r="H29" s="6">
        <v>0</v>
      </c>
      <c r="I29" s="6">
        <v>0</v>
      </c>
    </row>
    <row r="30" spans="1:9" ht="15">
      <c r="A30" s="2" t="s">
        <v>18</v>
      </c>
      <c r="B30" s="1">
        <v>1400</v>
      </c>
      <c r="C30" s="7">
        <v>0.61</v>
      </c>
      <c r="D30" s="7">
        <v>1.64</v>
      </c>
      <c r="E30" s="1">
        <v>854</v>
      </c>
      <c r="F30" s="1">
        <v>5</v>
      </c>
      <c r="G30" s="6">
        <v>0</v>
      </c>
      <c r="H30" s="6">
        <v>0</v>
      </c>
      <c r="I30" s="6">
        <v>0</v>
      </c>
    </row>
    <row r="31" spans="1:9" ht="15">
      <c r="A31" s="2" t="s">
        <v>18</v>
      </c>
      <c r="B31" s="1">
        <v>1600</v>
      </c>
      <c r="C31" s="7">
        <v>0.548</v>
      </c>
      <c r="D31" s="7">
        <v>1.83</v>
      </c>
      <c r="E31" s="1">
        <v>876</v>
      </c>
      <c r="F31" s="1">
        <v>5</v>
      </c>
      <c r="G31" s="6">
        <v>0</v>
      </c>
      <c r="H31" s="6">
        <v>0</v>
      </c>
      <c r="I31" s="6">
        <v>0</v>
      </c>
    </row>
    <row r="32" spans="1:10" ht="15">
      <c r="A32" s="2" t="s">
        <v>18</v>
      </c>
      <c r="B32" s="1">
        <v>1800</v>
      </c>
      <c r="C32" s="7">
        <v>0.498</v>
      </c>
      <c r="D32" s="7">
        <v>2.01</v>
      </c>
      <c r="E32" s="1">
        <v>896</v>
      </c>
      <c r="F32" s="1">
        <v>5</v>
      </c>
      <c r="G32" s="1">
        <v>1344</v>
      </c>
      <c r="H32" s="1" t="s">
        <v>0</v>
      </c>
      <c r="I32" s="1">
        <v>8</v>
      </c>
      <c r="J32" t="s">
        <v>31</v>
      </c>
    </row>
    <row r="33" spans="1:9" ht="15">
      <c r="A33" s="2" t="s">
        <v>18</v>
      </c>
      <c r="B33" s="1">
        <v>2000</v>
      </c>
      <c r="C33" s="7">
        <v>0.507</v>
      </c>
      <c r="D33" s="7">
        <v>1.97</v>
      </c>
      <c r="E33" s="1">
        <v>1014</v>
      </c>
      <c r="F33" s="1">
        <v>6</v>
      </c>
      <c r="G33" s="1">
        <v>1521</v>
      </c>
      <c r="H33" s="1" t="s">
        <v>0</v>
      </c>
      <c r="I33" s="1">
        <v>9</v>
      </c>
    </row>
    <row r="34" spans="1:9" ht="15">
      <c r="A34" s="2" t="s">
        <v>18</v>
      </c>
      <c r="B34" s="1">
        <v>2400</v>
      </c>
      <c r="C34" s="7">
        <v>0.434</v>
      </c>
      <c r="D34" s="7">
        <v>2.3</v>
      </c>
      <c r="E34" s="1">
        <v>1042</v>
      </c>
      <c r="F34" s="1">
        <v>6</v>
      </c>
      <c r="G34" s="1">
        <v>1563</v>
      </c>
      <c r="H34" s="1" t="s">
        <v>0</v>
      </c>
      <c r="I34" s="1">
        <v>9</v>
      </c>
    </row>
    <row r="35" spans="1:9" ht="15">
      <c r="A35" s="2" t="s">
        <v>18</v>
      </c>
      <c r="B35" s="1">
        <v>2800</v>
      </c>
      <c r="C35" s="7">
        <v>0.419</v>
      </c>
      <c r="D35" s="7">
        <v>2.39</v>
      </c>
      <c r="E35" s="1">
        <v>1172</v>
      </c>
      <c r="F35" s="1">
        <v>7</v>
      </c>
      <c r="G35" s="1">
        <v>1758</v>
      </c>
      <c r="H35" s="1" t="s">
        <v>0</v>
      </c>
      <c r="I35" s="1">
        <v>11</v>
      </c>
    </row>
    <row r="36" spans="1:9" ht="15">
      <c r="A36" s="2" t="s">
        <v>18</v>
      </c>
      <c r="B36" s="1">
        <v>3200</v>
      </c>
      <c r="C36" s="7">
        <v>0.371</v>
      </c>
      <c r="D36" s="7">
        <v>2.69</v>
      </c>
      <c r="E36" s="1">
        <v>1188</v>
      </c>
      <c r="F36" s="1">
        <v>7</v>
      </c>
      <c r="G36" s="1">
        <v>1782</v>
      </c>
      <c r="H36" s="1" t="s">
        <v>0</v>
      </c>
      <c r="I36" s="1">
        <v>11</v>
      </c>
    </row>
    <row r="37" spans="1:9" ht="15">
      <c r="A37" s="2" t="s">
        <v>18</v>
      </c>
      <c r="B37" s="1">
        <v>4000</v>
      </c>
      <c r="C37" s="7">
        <v>0.304</v>
      </c>
      <c r="D37" s="7">
        <v>3.29</v>
      </c>
      <c r="E37" s="1">
        <v>1214</v>
      </c>
      <c r="F37" s="1">
        <v>7</v>
      </c>
      <c r="G37" s="1">
        <v>1821</v>
      </c>
      <c r="H37" s="1" t="s">
        <v>0</v>
      </c>
      <c r="I37" s="1">
        <v>11</v>
      </c>
    </row>
    <row r="38" spans="1:9" ht="15">
      <c r="A38" s="2" t="s">
        <v>18</v>
      </c>
      <c r="B38" s="1">
        <v>5000</v>
      </c>
      <c r="C38" s="7">
        <v>0.27</v>
      </c>
      <c r="D38" s="7">
        <v>3.7</v>
      </c>
      <c r="E38" s="1">
        <v>1350</v>
      </c>
      <c r="F38" s="1">
        <v>8</v>
      </c>
      <c r="G38" s="1">
        <v>2700</v>
      </c>
      <c r="H38" s="1" t="s">
        <v>0</v>
      </c>
      <c r="I38" s="1">
        <v>16</v>
      </c>
    </row>
    <row r="39" spans="1:9" ht="15">
      <c r="A39" s="2" t="s">
        <v>18</v>
      </c>
      <c r="B39" s="1">
        <v>6000</v>
      </c>
      <c r="C39" s="7">
        <v>0.227</v>
      </c>
      <c r="D39" s="7">
        <v>4.4</v>
      </c>
      <c r="E39" s="1">
        <v>1364</v>
      </c>
      <c r="F39" s="1">
        <v>8</v>
      </c>
      <c r="G39" s="1">
        <v>2728</v>
      </c>
      <c r="H39" s="1" t="s">
        <v>0</v>
      </c>
      <c r="I39" s="1">
        <v>16</v>
      </c>
    </row>
    <row r="40" spans="1:9" ht="15">
      <c r="A40" s="2" t="s">
        <v>18</v>
      </c>
      <c r="B40" s="1">
        <v>7000</v>
      </c>
      <c r="C40" s="7">
        <v>0.197</v>
      </c>
      <c r="D40" s="7">
        <v>5.09</v>
      </c>
      <c r="E40" s="1">
        <v>1376</v>
      </c>
      <c r="F40" s="1">
        <v>8</v>
      </c>
      <c r="G40" s="1">
        <v>2752</v>
      </c>
      <c r="H40" s="1" t="s">
        <v>0</v>
      </c>
      <c r="I40" s="1">
        <v>16</v>
      </c>
    </row>
    <row r="41" spans="1:9" ht="15">
      <c r="A41" s="2" t="s">
        <v>18</v>
      </c>
      <c r="B41" s="1">
        <v>8000</v>
      </c>
      <c r="C41" s="7">
        <v>0.173</v>
      </c>
      <c r="D41" s="7">
        <v>5.78</v>
      </c>
      <c r="E41" s="1">
        <v>1384</v>
      </c>
      <c r="F41" s="1">
        <v>8</v>
      </c>
      <c r="G41" s="1">
        <v>2768</v>
      </c>
      <c r="H41" s="1" t="s">
        <v>0</v>
      </c>
      <c r="I41" s="1">
        <v>16</v>
      </c>
    </row>
    <row r="42" spans="1:9" ht="15">
      <c r="A42" s="2" t="s">
        <v>18</v>
      </c>
      <c r="B42" s="1">
        <v>9000</v>
      </c>
      <c r="C42" s="7">
        <v>0.168</v>
      </c>
      <c r="D42" s="7">
        <v>5.96</v>
      </c>
      <c r="E42" s="1">
        <v>1510</v>
      </c>
      <c r="F42" s="1">
        <v>9</v>
      </c>
      <c r="G42" s="1">
        <v>3020</v>
      </c>
      <c r="H42" s="1" t="s">
        <v>0</v>
      </c>
      <c r="I42" s="1">
        <v>18</v>
      </c>
    </row>
    <row r="43" spans="1:9" ht="15">
      <c r="A43" s="2" t="s">
        <v>18</v>
      </c>
      <c r="B43" s="1">
        <v>10000</v>
      </c>
      <c r="C43" s="7">
        <v>0.152</v>
      </c>
      <c r="D43" s="7">
        <v>6.6</v>
      </c>
      <c r="E43" s="1">
        <v>1516</v>
      </c>
      <c r="F43" s="1">
        <v>9</v>
      </c>
      <c r="G43" s="1">
        <v>3032</v>
      </c>
      <c r="H43" s="1" t="s">
        <v>0</v>
      </c>
      <c r="I43" s="1">
        <v>18</v>
      </c>
    </row>
    <row r="44" spans="1:9" ht="15">
      <c r="A44" s="2" t="s">
        <v>18</v>
      </c>
      <c r="B44" s="1">
        <v>12000</v>
      </c>
      <c r="C44" s="7">
        <v>0.127</v>
      </c>
      <c r="D44" s="7">
        <v>7.87</v>
      </c>
      <c r="E44" s="1">
        <v>1524</v>
      </c>
      <c r="F44" s="1">
        <v>9</v>
      </c>
      <c r="G44" s="1">
        <v>3048</v>
      </c>
      <c r="H44" s="1" t="s">
        <v>0</v>
      </c>
      <c r="I44" s="1">
        <v>18</v>
      </c>
    </row>
    <row r="45" spans="1:9" ht="15">
      <c r="A45" s="2" t="s">
        <v>18</v>
      </c>
      <c r="B45" s="1">
        <v>14000</v>
      </c>
      <c r="C45" s="7">
        <v>0.109</v>
      </c>
      <c r="D45" s="7">
        <v>9.15</v>
      </c>
      <c r="E45" s="1">
        <v>1530</v>
      </c>
      <c r="F45" s="1">
        <v>9</v>
      </c>
      <c r="G45" s="1">
        <v>3060</v>
      </c>
      <c r="H45" s="1" t="s">
        <v>0</v>
      </c>
      <c r="I45" s="1">
        <v>18</v>
      </c>
    </row>
    <row r="46" spans="1:9" ht="15">
      <c r="A46" s="2" t="s">
        <v>18</v>
      </c>
      <c r="B46" s="1">
        <v>16000</v>
      </c>
      <c r="C46" s="7">
        <v>0.096</v>
      </c>
      <c r="D46" s="7">
        <v>10.42</v>
      </c>
      <c r="E46" s="1">
        <v>1536</v>
      </c>
      <c r="F46" s="1">
        <v>9</v>
      </c>
      <c r="G46" s="1">
        <v>3072</v>
      </c>
      <c r="H46" s="1" t="s">
        <v>0</v>
      </c>
      <c r="I46" s="1">
        <v>18</v>
      </c>
    </row>
    <row r="47" spans="1:9" ht="15">
      <c r="A47" s="2" t="s">
        <v>18</v>
      </c>
      <c r="B47" s="1">
        <v>18000</v>
      </c>
      <c r="C47" s="51" t="e">
        <f>ROUND(1/D47,1)</f>
        <v>#DIV/0!</v>
      </c>
      <c r="D47" s="51">
        <f>ROUND(('Start Here'!D7)/E47,1)</f>
        <v>0</v>
      </c>
      <c r="E47" s="1">
        <v>1540</v>
      </c>
      <c r="F47" s="1">
        <v>9</v>
      </c>
      <c r="G47" s="1">
        <v>3080</v>
      </c>
      <c r="H47" s="1" t="s">
        <v>0</v>
      </c>
      <c r="I47" s="1">
        <v>18</v>
      </c>
    </row>
  </sheetData>
  <sheetProtection password="CFC9" sheet="1" objects="1" scenarios="1"/>
  <printOptions/>
  <pageMargins left="0.7" right="0.7" top="0.75" bottom="0.75" header="0.3" footer="0.3"/>
  <pageSetup horizontalDpi="600" verticalDpi="600" orientation="portrait" r:id="rId1"/>
  <ignoredErrors>
    <ignoredError sqref="A2:A4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2:D551"/>
  <sheetViews>
    <sheetView showGridLines="0" zoomScalePageLayoutView="0" workbookViewId="0" topLeftCell="A1">
      <selection activeCell="A1" sqref="A1"/>
    </sheetView>
  </sheetViews>
  <sheetFormatPr defaultColWidth="0" defaultRowHeight="15"/>
  <cols>
    <col min="1" max="1" width="62.8515625" style="0" customWidth="1"/>
    <col min="2" max="2" width="8.8515625" style="42" customWidth="1"/>
    <col min="3" max="3" width="41.7109375" style="0" customWidth="1"/>
    <col min="4" max="4" width="2.7109375" style="0" customWidth="1"/>
    <col min="5" max="16384" width="0" style="0" hidden="1" customWidth="1"/>
  </cols>
  <sheetData>
    <row r="2" spans="1:3" ht="81" customHeight="1">
      <c r="A2" s="188" t="s">
        <v>134</v>
      </c>
      <c r="B2" s="189"/>
      <c r="C2" s="190"/>
    </row>
    <row r="3" spans="1:3" ht="15.75" customHeight="1">
      <c r="A3" s="26"/>
      <c r="B3" s="43"/>
      <c r="C3" s="26"/>
    </row>
    <row r="4" spans="1:2" s="38" customFormat="1" ht="15" customHeight="1">
      <c r="A4" s="55" t="s">
        <v>23</v>
      </c>
      <c r="B4" s="44">
        <v>45</v>
      </c>
    </row>
    <row r="5" spans="1:2" s="38" customFormat="1" ht="15.75">
      <c r="A5" s="56" t="s">
        <v>24</v>
      </c>
      <c r="B5" s="45">
        <v>30</v>
      </c>
    </row>
    <row r="6" spans="1:2" s="38" customFormat="1" ht="36.75" customHeight="1">
      <c r="A6" s="56"/>
      <c r="B6" s="45"/>
    </row>
    <row r="7" spans="1:4" s="49" customFormat="1" ht="17.25" customHeight="1">
      <c r="A7" s="191"/>
      <c r="B7" s="191"/>
      <c r="C7" s="191"/>
      <c r="D7" s="46"/>
    </row>
    <row r="8" spans="1:3" s="38" customFormat="1" ht="31.5" customHeight="1">
      <c r="A8"/>
      <c r="B8"/>
      <c r="C8" s="62"/>
    </row>
    <row r="9" spans="1:2" s="38" customFormat="1" ht="15">
      <c r="A9"/>
      <c r="B9"/>
    </row>
    <row r="10" spans="1:2" s="38" customFormat="1" ht="15">
      <c r="A10"/>
      <c r="B10"/>
    </row>
    <row r="11" spans="1:2" s="38" customFormat="1" ht="15">
      <c r="A11"/>
      <c r="B11"/>
    </row>
    <row r="12" spans="1:2" s="38" customFormat="1" ht="15">
      <c r="A12"/>
      <c r="B12"/>
    </row>
    <row r="13" spans="1:2" s="38" customFormat="1" ht="15">
      <c r="A13"/>
      <c r="B13"/>
    </row>
    <row r="14" spans="1:2" s="38" customFormat="1" ht="15">
      <c r="A14"/>
      <c r="B14"/>
    </row>
    <row r="15" spans="1:2" s="38" customFormat="1" ht="15">
      <c r="A15"/>
      <c r="B15"/>
    </row>
    <row r="16" spans="1:2" s="38" customFormat="1" ht="15">
      <c r="A16"/>
      <c r="B16"/>
    </row>
    <row r="17" spans="1:2" s="38" customFormat="1" ht="15">
      <c r="A17"/>
      <c r="B17"/>
    </row>
    <row r="18" spans="1:2" s="38" customFormat="1" ht="15">
      <c r="A18"/>
      <c r="B18"/>
    </row>
    <row r="19" spans="1:2" s="38" customFormat="1" ht="15">
      <c r="A19"/>
      <c r="B19"/>
    </row>
    <row r="20" spans="1:2" s="38" customFormat="1" ht="15">
      <c r="A20"/>
      <c r="B20"/>
    </row>
    <row r="21" spans="1:2" s="38" customFormat="1" ht="15">
      <c r="A21"/>
      <c r="B21"/>
    </row>
    <row r="22" spans="1:2" s="38" customFormat="1" ht="15">
      <c r="A22"/>
      <c r="B22"/>
    </row>
    <row r="23" spans="1:2" s="38" customFormat="1" ht="15">
      <c r="A23"/>
      <c r="B23"/>
    </row>
    <row r="24" spans="1:2" s="38" customFormat="1" ht="15">
      <c r="A24"/>
      <c r="B24"/>
    </row>
    <row r="25" spans="1:2" s="38" customFormat="1" ht="15">
      <c r="A25"/>
      <c r="B25"/>
    </row>
    <row r="26" spans="1:2" s="38" customFormat="1" ht="15">
      <c r="A26"/>
      <c r="B26"/>
    </row>
    <row r="27" spans="1:2" s="38" customFormat="1" ht="15">
      <c r="A27"/>
      <c r="B27"/>
    </row>
    <row r="28" spans="1:2" s="38" customFormat="1" ht="15">
      <c r="A28"/>
      <c r="B28"/>
    </row>
    <row r="29" spans="1:2" s="38" customFormat="1" ht="15">
      <c r="A29"/>
      <c r="B29"/>
    </row>
    <row r="30" spans="1:2" s="38" customFormat="1" ht="15">
      <c r="A30"/>
      <c r="B30"/>
    </row>
    <row r="31" spans="1:2" s="38" customFormat="1" ht="15">
      <c r="A31"/>
      <c r="B31"/>
    </row>
    <row r="32" spans="1:2" s="38" customFormat="1" ht="15">
      <c r="A32"/>
      <c r="B32"/>
    </row>
    <row r="33" spans="1:2" s="38" customFormat="1" ht="15">
      <c r="A33"/>
      <c r="B33"/>
    </row>
    <row r="34" spans="1:2" s="38" customFormat="1" ht="15">
      <c r="A34"/>
      <c r="B34"/>
    </row>
    <row r="35" spans="1:2" s="38" customFormat="1" ht="15">
      <c r="A35"/>
      <c r="B35"/>
    </row>
    <row r="36" spans="1:2" s="38" customFormat="1" ht="15">
      <c r="A36"/>
      <c r="B36"/>
    </row>
    <row r="37" spans="1:2" s="38" customFormat="1" ht="15">
      <c r="A37"/>
      <c r="B37"/>
    </row>
    <row r="38" spans="1:2" s="38" customFormat="1" ht="15">
      <c r="A38"/>
      <c r="B38"/>
    </row>
    <row r="39" spans="1:2" s="38" customFormat="1" ht="15">
      <c r="A39"/>
      <c r="B39"/>
    </row>
    <row r="40" spans="1:2" s="38" customFormat="1" ht="15">
      <c r="A40"/>
      <c r="B40"/>
    </row>
    <row r="41" spans="1:2" s="38" customFormat="1" ht="15">
      <c r="A41"/>
      <c r="B41"/>
    </row>
    <row r="42" spans="1:2" s="38" customFormat="1" ht="15">
      <c r="A42"/>
      <c r="B42"/>
    </row>
    <row r="43" spans="1:2" s="38" customFormat="1" ht="15">
      <c r="A43"/>
      <c r="B43"/>
    </row>
    <row r="44" spans="1:2" s="38" customFormat="1" ht="15">
      <c r="A44"/>
      <c r="B44"/>
    </row>
    <row r="45" spans="1:2" s="38" customFormat="1" ht="15">
      <c r="A45"/>
      <c r="B45"/>
    </row>
    <row r="46" spans="1:2" s="38" customFormat="1" ht="15">
      <c r="A46"/>
      <c r="B46"/>
    </row>
    <row r="47" spans="1:2" s="38" customFormat="1" ht="15">
      <c r="A47"/>
      <c r="B47"/>
    </row>
    <row r="48" spans="1:2" s="38" customFormat="1" ht="15">
      <c r="A48"/>
      <c r="B48"/>
    </row>
    <row r="49" spans="1:2" s="38" customFormat="1" ht="15">
      <c r="A49"/>
      <c r="B49"/>
    </row>
    <row r="50" spans="1:2" s="38" customFormat="1" ht="15">
      <c r="A50"/>
      <c r="B50"/>
    </row>
    <row r="51" spans="1:2" s="38" customFormat="1" ht="15">
      <c r="A51"/>
      <c r="B51"/>
    </row>
    <row r="52" spans="1:2" s="38" customFormat="1" ht="15">
      <c r="A52"/>
      <c r="B52"/>
    </row>
    <row r="53" spans="1:2" s="38" customFormat="1" ht="15">
      <c r="A53"/>
      <c r="B53"/>
    </row>
    <row r="54" spans="1:2" s="38" customFormat="1" ht="15">
      <c r="A54"/>
      <c r="B54"/>
    </row>
    <row r="55" spans="1:2" s="38" customFormat="1" ht="15">
      <c r="A55"/>
      <c r="B55"/>
    </row>
    <row r="56" spans="1:2" s="38" customFormat="1" ht="15">
      <c r="A56"/>
      <c r="B56"/>
    </row>
    <row r="57" spans="1:2" s="38" customFormat="1" ht="15">
      <c r="A57"/>
      <c r="B57"/>
    </row>
    <row r="58" spans="1:2" s="38" customFormat="1" ht="15">
      <c r="A58"/>
      <c r="B58"/>
    </row>
    <row r="59" spans="1:2" s="38" customFormat="1" ht="15">
      <c r="A59"/>
      <c r="B59"/>
    </row>
    <row r="60" spans="1:2" s="38" customFormat="1" ht="15">
      <c r="A60"/>
      <c r="B60"/>
    </row>
    <row r="61" spans="1:2" s="38" customFormat="1" ht="15">
      <c r="A61"/>
      <c r="B61"/>
    </row>
    <row r="62" spans="1:2" s="38" customFormat="1" ht="15">
      <c r="A62"/>
      <c r="B62"/>
    </row>
    <row r="63" spans="1:2" s="38" customFormat="1" ht="15">
      <c r="A63"/>
      <c r="B63"/>
    </row>
    <row r="64" spans="1:2" s="38" customFormat="1" ht="15">
      <c r="A64"/>
      <c r="B64"/>
    </row>
    <row r="65" spans="1:2" s="38" customFormat="1" ht="15">
      <c r="A65"/>
      <c r="B65"/>
    </row>
    <row r="66" spans="1:2" s="38" customFormat="1" ht="15">
      <c r="A66"/>
      <c r="B66"/>
    </row>
    <row r="67" spans="1:2" s="38" customFormat="1" ht="15">
      <c r="A67"/>
      <c r="B67"/>
    </row>
    <row r="68" spans="1:2" s="38" customFormat="1" ht="15">
      <c r="A68"/>
      <c r="B68"/>
    </row>
    <row r="69" spans="1:2" s="38" customFormat="1" ht="15">
      <c r="A69"/>
      <c r="B69"/>
    </row>
    <row r="70" spans="1:2" s="38" customFormat="1" ht="15">
      <c r="A70"/>
      <c r="B70"/>
    </row>
    <row r="71" spans="1:2" s="38" customFormat="1" ht="15">
      <c r="A71"/>
      <c r="B71"/>
    </row>
    <row r="72" spans="1:2" s="38" customFormat="1" ht="15">
      <c r="A72"/>
      <c r="B72"/>
    </row>
    <row r="73" spans="1:2" s="38" customFormat="1" ht="15">
      <c r="A73"/>
      <c r="B73"/>
    </row>
    <row r="74" spans="1:2" s="38" customFormat="1" ht="15">
      <c r="A74"/>
      <c r="B74"/>
    </row>
    <row r="75" spans="1:2" s="38" customFormat="1" ht="15">
      <c r="A75"/>
      <c r="B75"/>
    </row>
    <row r="76" spans="1:2" s="38" customFormat="1" ht="15">
      <c r="A76"/>
      <c r="B76"/>
    </row>
    <row r="77" spans="1:2" s="38" customFormat="1" ht="15">
      <c r="A77"/>
      <c r="B77"/>
    </row>
    <row r="78" spans="1:2" s="38" customFormat="1" ht="15">
      <c r="A78"/>
      <c r="B78"/>
    </row>
    <row r="79" spans="1:2" s="38" customFormat="1" ht="15">
      <c r="A79"/>
      <c r="B79"/>
    </row>
    <row r="80" spans="1:2" s="38" customFormat="1" ht="15">
      <c r="A80"/>
      <c r="B80"/>
    </row>
    <row r="81" spans="1:2" s="38" customFormat="1" ht="15">
      <c r="A81"/>
      <c r="B81"/>
    </row>
    <row r="82" spans="1:2" s="38" customFormat="1" ht="15">
      <c r="A82"/>
      <c r="B82"/>
    </row>
    <row r="83" spans="1:2" s="38" customFormat="1" ht="15">
      <c r="A83"/>
      <c r="B83"/>
    </row>
    <row r="84" spans="1:2" s="38" customFormat="1" ht="15">
      <c r="A84"/>
      <c r="B84"/>
    </row>
    <row r="85" spans="1:2" s="38" customFormat="1" ht="15">
      <c r="A85"/>
      <c r="B85"/>
    </row>
    <row r="86" spans="1:2" s="38" customFormat="1" ht="15">
      <c r="A86"/>
      <c r="B86"/>
    </row>
    <row r="87" spans="1:2" s="38" customFormat="1" ht="15">
      <c r="A87"/>
      <c r="B87"/>
    </row>
    <row r="88" spans="1:2" s="38" customFormat="1" ht="15">
      <c r="A88"/>
      <c r="B88"/>
    </row>
    <row r="89" spans="1:2" s="38" customFormat="1" ht="15">
      <c r="A89"/>
      <c r="B89"/>
    </row>
    <row r="90" spans="1:2" s="38" customFormat="1" ht="15">
      <c r="A90"/>
      <c r="B90"/>
    </row>
    <row r="91" spans="1:2" s="38" customFormat="1" ht="15">
      <c r="A91"/>
      <c r="B91"/>
    </row>
    <row r="92" spans="1:2" s="38" customFormat="1" ht="15">
      <c r="A92"/>
      <c r="B92"/>
    </row>
    <row r="93" spans="1:2" s="38" customFormat="1" ht="15">
      <c r="A93"/>
      <c r="B93"/>
    </row>
    <row r="94" spans="1:2" s="38" customFormat="1" ht="15">
      <c r="A94"/>
      <c r="B94"/>
    </row>
    <row r="95" spans="1:2" s="38" customFormat="1" ht="15">
      <c r="A95"/>
      <c r="B95"/>
    </row>
    <row r="96" spans="1:2" s="38" customFormat="1" ht="15">
      <c r="A96"/>
      <c r="B96"/>
    </row>
    <row r="97" spans="1:2" s="38" customFormat="1" ht="15">
      <c r="A97"/>
      <c r="B97"/>
    </row>
    <row r="98" spans="1:2" s="38" customFormat="1" ht="15">
      <c r="A98"/>
      <c r="B98"/>
    </row>
    <row r="99" spans="1:2" s="38" customFormat="1" ht="15">
      <c r="A99"/>
      <c r="B99"/>
    </row>
    <row r="100" spans="1:2" s="38" customFormat="1" ht="15">
      <c r="A100"/>
      <c r="B100"/>
    </row>
    <row r="101" spans="1:2" s="38" customFormat="1" ht="15">
      <c r="A101"/>
      <c r="B101"/>
    </row>
    <row r="102" spans="1:2" s="38" customFormat="1" ht="15">
      <c r="A102"/>
      <c r="B102"/>
    </row>
    <row r="103" spans="1:2" s="38" customFormat="1" ht="15">
      <c r="A103"/>
      <c r="B103"/>
    </row>
    <row r="104" spans="1:2" s="38" customFormat="1" ht="15">
      <c r="A104"/>
      <c r="B104"/>
    </row>
    <row r="105" spans="1:2" s="38" customFormat="1" ht="15">
      <c r="A105"/>
      <c r="B105"/>
    </row>
    <row r="106" spans="1:2" s="38" customFormat="1" ht="15">
      <c r="A106"/>
      <c r="B106"/>
    </row>
    <row r="107" spans="1:2" s="38" customFormat="1" ht="15">
      <c r="A107"/>
      <c r="B107"/>
    </row>
    <row r="108" spans="1:2" s="38" customFormat="1" ht="15">
      <c r="A108"/>
      <c r="B108"/>
    </row>
    <row r="109" spans="1:2" s="38" customFormat="1" ht="15">
      <c r="A109"/>
      <c r="B109"/>
    </row>
    <row r="110" spans="1:2" s="38" customFormat="1" ht="15">
      <c r="A110"/>
      <c r="B110"/>
    </row>
    <row r="111" spans="1:2" s="38" customFormat="1" ht="15">
      <c r="A111"/>
      <c r="B111"/>
    </row>
    <row r="112" spans="1:2" s="38" customFormat="1" ht="15">
      <c r="A112"/>
      <c r="B112"/>
    </row>
    <row r="113" spans="1:2" s="38" customFormat="1" ht="15">
      <c r="A113"/>
      <c r="B113"/>
    </row>
    <row r="114" spans="1:2" s="38" customFormat="1" ht="15">
      <c r="A114"/>
      <c r="B114"/>
    </row>
    <row r="115" spans="1:2" s="38" customFormat="1" ht="15">
      <c r="A115"/>
      <c r="B115"/>
    </row>
    <row r="116" spans="1:2" s="38" customFormat="1" ht="15">
      <c r="A116"/>
      <c r="B116"/>
    </row>
    <row r="117" spans="1:2" s="38" customFormat="1" ht="15">
      <c r="A117"/>
      <c r="B117"/>
    </row>
    <row r="118" spans="1:2" s="38" customFormat="1" ht="15">
      <c r="A118"/>
      <c r="B118"/>
    </row>
    <row r="119" spans="1:2" s="38" customFormat="1" ht="15">
      <c r="A119"/>
      <c r="B119"/>
    </row>
    <row r="120" spans="1:2" s="38" customFormat="1" ht="15">
      <c r="A120"/>
      <c r="B120"/>
    </row>
    <row r="121" spans="1:2" s="38" customFormat="1" ht="15">
      <c r="A121"/>
      <c r="B121"/>
    </row>
    <row r="122" spans="1:2" s="38" customFormat="1" ht="15">
      <c r="A122"/>
      <c r="B122"/>
    </row>
    <row r="123" spans="1:2" s="38" customFormat="1" ht="15">
      <c r="A123"/>
      <c r="B123"/>
    </row>
    <row r="124" spans="1:2" s="38" customFormat="1" ht="15">
      <c r="A124"/>
      <c r="B124"/>
    </row>
    <row r="125" spans="1:2" s="38" customFormat="1" ht="15">
      <c r="A125"/>
      <c r="B125"/>
    </row>
    <row r="126" spans="1:2" s="38" customFormat="1" ht="15">
      <c r="A126"/>
      <c r="B126"/>
    </row>
    <row r="127" spans="1:2" s="38" customFormat="1" ht="15">
      <c r="A127"/>
      <c r="B127"/>
    </row>
    <row r="128" spans="1:2" s="38" customFormat="1" ht="15">
      <c r="A128"/>
      <c r="B128"/>
    </row>
    <row r="129" spans="1:2" s="38" customFormat="1" ht="15">
      <c r="A129"/>
      <c r="B129"/>
    </row>
    <row r="130" spans="1:2" s="38" customFormat="1" ht="15">
      <c r="A130"/>
      <c r="B130"/>
    </row>
    <row r="131" spans="1:2" s="38" customFormat="1" ht="15">
      <c r="A131"/>
      <c r="B131"/>
    </row>
    <row r="132" spans="1:2" s="38" customFormat="1" ht="15">
      <c r="A132"/>
      <c r="B132"/>
    </row>
    <row r="133" spans="1:2" s="38" customFormat="1" ht="15">
      <c r="A133"/>
      <c r="B133"/>
    </row>
    <row r="134" spans="1:2" s="38" customFormat="1" ht="15">
      <c r="A134"/>
      <c r="B134"/>
    </row>
    <row r="135" spans="1:2" s="38" customFormat="1" ht="15">
      <c r="A135"/>
      <c r="B135"/>
    </row>
    <row r="136" spans="1:2" s="38" customFormat="1" ht="15">
      <c r="A136"/>
      <c r="B136"/>
    </row>
    <row r="137" spans="1:2" s="38" customFormat="1" ht="15">
      <c r="A137"/>
      <c r="B137"/>
    </row>
    <row r="138" spans="1:2" s="38" customFormat="1" ht="15">
      <c r="A138"/>
      <c r="B138"/>
    </row>
    <row r="139" spans="1:2" s="38" customFormat="1" ht="15">
      <c r="A139"/>
      <c r="B139"/>
    </row>
    <row r="140" spans="1:2" s="38" customFormat="1" ht="15">
      <c r="A140"/>
      <c r="B140"/>
    </row>
    <row r="141" spans="1:2" s="38" customFormat="1" ht="15">
      <c r="A141"/>
      <c r="B141"/>
    </row>
    <row r="142" spans="1:2" s="38" customFormat="1" ht="15">
      <c r="A142"/>
      <c r="B142"/>
    </row>
    <row r="143" spans="1:2" s="38" customFormat="1" ht="15">
      <c r="A143"/>
      <c r="B143"/>
    </row>
    <row r="144" spans="1:2" s="38" customFormat="1" ht="15">
      <c r="A144"/>
      <c r="B144"/>
    </row>
    <row r="145" spans="1:2" s="38" customFormat="1" ht="15">
      <c r="A145"/>
      <c r="B145"/>
    </row>
    <row r="146" spans="1:2" s="38" customFormat="1" ht="15">
      <c r="A146"/>
      <c r="B146"/>
    </row>
    <row r="147" spans="1:2" s="38" customFormat="1" ht="15">
      <c r="A147"/>
      <c r="B147"/>
    </row>
    <row r="148" spans="1:2" s="38" customFormat="1" ht="15">
      <c r="A148"/>
      <c r="B148"/>
    </row>
    <row r="149" spans="1:2" s="38" customFormat="1" ht="15">
      <c r="A149"/>
      <c r="B149"/>
    </row>
    <row r="150" spans="1:2" s="38" customFormat="1" ht="15">
      <c r="A150"/>
      <c r="B150"/>
    </row>
    <row r="151" spans="1:2" s="38" customFormat="1" ht="15">
      <c r="A151"/>
      <c r="B151"/>
    </row>
    <row r="152" spans="1:2" s="38" customFormat="1" ht="15">
      <c r="A152"/>
      <c r="B152"/>
    </row>
    <row r="153" spans="1:2" s="38" customFormat="1" ht="15">
      <c r="A153"/>
      <c r="B153"/>
    </row>
    <row r="154" spans="1:2" s="38" customFormat="1" ht="15">
      <c r="A154"/>
      <c r="B154"/>
    </row>
    <row r="155" spans="1:2" s="38" customFormat="1" ht="15">
      <c r="A155"/>
      <c r="B155"/>
    </row>
    <row r="156" spans="1:2" s="38" customFormat="1" ht="15">
      <c r="A156"/>
      <c r="B156"/>
    </row>
    <row r="157" spans="1:2" s="38" customFormat="1" ht="15">
      <c r="A157"/>
      <c r="B157"/>
    </row>
    <row r="158" spans="1:2" s="38" customFormat="1" ht="15">
      <c r="A158"/>
      <c r="B158"/>
    </row>
    <row r="159" spans="1:2" s="38" customFormat="1" ht="15">
      <c r="A159"/>
      <c r="B159"/>
    </row>
    <row r="160" spans="1:2" s="38" customFormat="1" ht="15">
      <c r="A160"/>
      <c r="B160"/>
    </row>
    <row r="161" spans="1:2" s="38" customFormat="1" ht="15">
      <c r="A161"/>
      <c r="B161"/>
    </row>
    <row r="162" spans="1:2" s="38" customFormat="1" ht="15">
      <c r="A162"/>
      <c r="B162"/>
    </row>
    <row r="163" spans="1:2" s="38" customFormat="1" ht="15">
      <c r="A163"/>
      <c r="B163"/>
    </row>
    <row r="164" spans="1:2" s="38" customFormat="1" ht="15">
      <c r="A164"/>
      <c r="B164"/>
    </row>
    <row r="165" spans="1:2" s="38" customFormat="1" ht="15">
      <c r="A165"/>
      <c r="B165"/>
    </row>
    <row r="166" spans="1:2" s="38" customFormat="1" ht="15">
      <c r="A166"/>
      <c r="B166"/>
    </row>
    <row r="167" spans="1:2" s="38" customFormat="1" ht="15">
      <c r="A167"/>
      <c r="B167"/>
    </row>
    <row r="168" spans="1:2" s="38" customFormat="1" ht="15">
      <c r="A168"/>
      <c r="B168"/>
    </row>
    <row r="169" spans="1:2" s="38" customFormat="1" ht="15">
      <c r="A169"/>
      <c r="B169"/>
    </row>
    <row r="170" spans="1:2" s="38" customFormat="1" ht="15">
      <c r="A170"/>
      <c r="B170"/>
    </row>
    <row r="171" spans="1:2" s="38" customFormat="1" ht="15">
      <c r="A171"/>
      <c r="B171"/>
    </row>
    <row r="172" spans="1:2" s="38" customFormat="1" ht="15">
      <c r="A172"/>
      <c r="B172"/>
    </row>
    <row r="173" spans="1:2" s="38" customFormat="1" ht="15">
      <c r="A173"/>
      <c r="B173"/>
    </row>
    <row r="174" spans="1:2" s="38" customFormat="1" ht="15">
      <c r="A174"/>
      <c r="B174"/>
    </row>
    <row r="175" spans="1:2" s="38" customFormat="1" ht="15">
      <c r="A175"/>
      <c r="B175"/>
    </row>
    <row r="176" spans="1:2" s="38" customFormat="1" ht="15">
      <c r="A176"/>
      <c r="B176"/>
    </row>
    <row r="177" spans="1:2" s="38" customFormat="1" ht="15">
      <c r="A177"/>
      <c r="B177"/>
    </row>
    <row r="178" spans="1:2" s="38" customFormat="1" ht="15">
      <c r="A178"/>
      <c r="B178"/>
    </row>
    <row r="179" spans="1:2" s="38" customFormat="1" ht="15">
      <c r="A179"/>
      <c r="B179"/>
    </row>
    <row r="180" spans="1:2" s="38" customFormat="1" ht="15">
      <c r="A180"/>
      <c r="B180"/>
    </row>
    <row r="181" spans="1:2" s="38" customFormat="1" ht="15">
      <c r="A181"/>
      <c r="B181"/>
    </row>
    <row r="182" spans="1:2" s="38" customFormat="1" ht="15">
      <c r="A182"/>
      <c r="B182"/>
    </row>
    <row r="183" spans="1:2" s="38" customFormat="1" ht="15">
      <c r="A183"/>
      <c r="B183"/>
    </row>
    <row r="184" spans="1:2" s="38" customFormat="1" ht="15">
      <c r="A184"/>
      <c r="B184"/>
    </row>
    <row r="185" spans="1:2" s="38" customFormat="1" ht="15">
      <c r="A185"/>
      <c r="B185"/>
    </row>
    <row r="186" spans="1:2" s="38" customFormat="1" ht="15">
      <c r="A186"/>
      <c r="B186"/>
    </row>
    <row r="187" spans="1:2" s="38" customFormat="1" ht="15">
      <c r="A187"/>
      <c r="B187"/>
    </row>
    <row r="188" spans="1:2" s="38" customFormat="1" ht="15">
      <c r="A188"/>
      <c r="B188"/>
    </row>
    <row r="189" spans="1:2" s="38" customFormat="1" ht="15">
      <c r="A189"/>
      <c r="B189"/>
    </row>
    <row r="190" spans="1:2" s="38" customFormat="1" ht="15">
      <c r="A190"/>
      <c r="B190"/>
    </row>
    <row r="191" spans="1:2" s="38" customFormat="1" ht="15">
      <c r="A191"/>
      <c r="B191"/>
    </row>
    <row r="192" spans="1:2" s="38" customFormat="1" ht="15">
      <c r="A192"/>
      <c r="B192"/>
    </row>
    <row r="193" spans="1:2" s="38" customFormat="1" ht="15">
      <c r="A193"/>
      <c r="B193"/>
    </row>
    <row r="194" spans="1:2" s="38" customFormat="1" ht="15">
      <c r="A194"/>
      <c r="B194"/>
    </row>
    <row r="195" spans="1:2" s="38" customFormat="1" ht="15">
      <c r="A195"/>
      <c r="B195"/>
    </row>
    <row r="196" spans="1:2" s="38" customFormat="1" ht="15">
      <c r="A196"/>
      <c r="B196"/>
    </row>
    <row r="197" spans="1:2" s="38" customFormat="1" ht="15">
      <c r="A197"/>
      <c r="B197"/>
    </row>
    <row r="198" spans="1:2" s="38" customFormat="1" ht="15">
      <c r="A198"/>
      <c r="B198"/>
    </row>
    <row r="199" spans="1:2" s="38" customFormat="1" ht="15">
      <c r="A199"/>
      <c r="B199"/>
    </row>
    <row r="200" spans="1:2" s="38" customFormat="1" ht="15">
      <c r="A200"/>
      <c r="B200"/>
    </row>
    <row r="201" spans="1:2" s="38" customFormat="1" ht="15">
      <c r="A201"/>
      <c r="B201"/>
    </row>
    <row r="202" spans="1:2" s="38" customFormat="1" ht="15">
      <c r="A202"/>
      <c r="B202"/>
    </row>
    <row r="203" spans="1:2" s="38" customFormat="1" ht="15">
      <c r="A203"/>
      <c r="B203"/>
    </row>
    <row r="204" spans="1:2" s="38" customFormat="1" ht="15">
      <c r="A204"/>
      <c r="B204"/>
    </row>
    <row r="205" spans="1:2" s="38" customFormat="1" ht="15">
      <c r="A205"/>
      <c r="B205"/>
    </row>
    <row r="206" spans="1:2" s="38" customFormat="1" ht="15">
      <c r="A206"/>
      <c r="B206"/>
    </row>
    <row r="207" spans="1:2" s="38" customFormat="1" ht="15">
      <c r="A207"/>
      <c r="B207"/>
    </row>
    <row r="208" spans="1:2" s="38" customFormat="1" ht="15">
      <c r="A208"/>
      <c r="B208"/>
    </row>
    <row r="209" spans="1:2" s="38" customFormat="1" ht="15">
      <c r="A209"/>
      <c r="B209"/>
    </row>
    <row r="210" spans="1:2" s="38" customFormat="1" ht="15">
      <c r="A210"/>
      <c r="B210"/>
    </row>
    <row r="211" spans="1:2" s="38" customFormat="1" ht="15">
      <c r="A211"/>
      <c r="B211"/>
    </row>
    <row r="212" spans="1:2" s="38" customFormat="1" ht="15">
      <c r="A212"/>
      <c r="B212"/>
    </row>
    <row r="213" spans="1:2" s="38" customFormat="1" ht="15">
      <c r="A213"/>
      <c r="B213"/>
    </row>
    <row r="214" spans="1:2" s="38" customFormat="1" ht="15">
      <c r="A214"/>
      <c r="B214"/>
    </row>
    <row r="215" spans="1:2" s="38" customFormat="1" ht="15">
      <c r="A215"/>
      <c r="B215"/>
    </row>
    <row r="216" spans="1:2" s="38" customFormat="1" ht="15">
      <c r="A216"/>
      <c r="B216"/>
    </row>
    <row r="217" spans="1:2" s="38" customFormat="1" ht="15">
      <c r="A217"/>
      <c r="B217"/>
    </row>
    <row r="218" spans="1:2" s="38" customFormat="1" ht="15">
      <c r="A218"/>
      <c r="B218"/>
    </row>
    <row r="219" spans="1:2" s="38" customFormat="1" ht="15">
      <c r="A219"/>
      <c r="B219"/>
    </row>
    <row r="220" spans="1:2" s="38" customFormat="1" ht="15">
      <c r="A220"/>
      <c r="B220"/>
    </row>
    <row r="221" spans="1:2" s="38" customFormat="1" ht="15">
      <c r="A221"/>
      <c r="B221"/>
    </row>
    <row r="222" spans="1:2" s="38" customFormat="1" ht="15">
      <c r="A222"/>
      <c r="B222"/>
    </row>
    <row r="223" spans="1:2" s="38" customFormat="1" ht="15">
      <c r="A223"/>
      <c r="B223"/>
    </row>
    <row r="224" spans="1:2" s="38" customFormat="1" ht="15">
      <c r="A224"/>
      <c r="B224"/>
    </row>
    <row r="225" spans="1:2" s="38" customFormat="1" ht="15">
      <c r="A225"/>
      <c r="B225"/>
    </row>
    <row r="226" spans="1:2" s="38" customFormat="1" ht="15">
      <c r="A226"/>
      <c r="B226"/>
    </row>
    <row r="227" spans="1:2" s="38" customFormat="1" ht="15">
      <c r="A227"/>
      <c r="B227"/>
    </row>
    <row r="228" spans="1:2" s="38" customFormat="1" ht="15">
      <c r="A228"/>
      <c r="B228"/>
    </row>
    <row r="229" spans="1:2" s="38" customFormat="1" ht="15">
      <c r="A229"/>
      <c r="B229"/>
    </row>
    <row r="230" spans="1:2" s="38" customFormat="1" ht="15">
      <c r="A230"/>
      <c r="B230"/>
    </row>
    <row r="231" spans="1:2" s="38" customFormat="1" ht="15">
      <c r="A231"/>
      <c r="B231"/>
    </row>
    <row r="232" spans="1:2" s="38" customFormat="1" ht="15">
      <c r="A232"/>
      <c r="B232"/>
    </row>
    <row r="233" spans="1:2" s="38" customFormat="1" ht="15">
      <c r="A233"/>
      <c r="B233"/>
    </row>
    <row r="234" spans="1:2" s="38" customFormat="1" ht="15">
      <c r="A234"/>
      <c r="B234"/>
    </row>
    <row r="235" spans="1:2" s="38" customFormat="1" ht="15">
      <c r="A235"/>
      <c r="B235"/>
    </row>
    <row r="236" spans="1:2" s="38" customFormat="1" ht="15">
      <c r="A236"/>
      <c r="B236"/>
    </row>
    <row r="237" spans="1:2" s="38" customFormat="1" ht="15">
      <c r="A237"/>
      <c r="B237"/>
    </row>
    <row r="238" spans="1:2" s="38" customFormat="1" ht="15">
      <c r="A238"/>
      <c r="B238"/>
    </row>
    <row r="239" spans="1:2" s="38" customFormat="1" ht="15">
      <c r="A239"/>
      <c r="B239"/>
    </row>
    <row r="240" spans="1:2" s="38" customFormat="1" ht="15">
      <c r="A240"/>
      <c r="B240"/>
    </row>
    <row r="241" spans="1:2" s="38" customFormat="1" ht="15">
      <c r="A241"/>
      <c r="B241"/>
    </row>
    <row r="242" spans="1:2" s="38" customFormat="1" ht="15">
      <c r="A242"/>
      <c r="B242"/>
    </row>
    <row r="243" spans="1:2" s="38" customFormat="1" ht="15">
      <c r="A243"/>
      <c r="B243"/>
    </row>
    <row r="244" spans="1:2" s="38" customFormat="1" ht="15">
      <c r="A244"/>
      <c r="B244"/>
    </row>
    <row r="245" spans="1:2" s="38" customFormat="1" ht="15">
      <c r="A245"/>
      <c r="B245"/>
    </row>
    <row r="246" spans="1:2" s="38" customFormat="1" ht="15">
      <c r="A246"/>
      <c r="B246"/>
    </row>
    <row r="247" spans="1:2" s="38" customFormat="1" ht="15">
      <c r="A247"/>
      <c r="B247"/>
    </row>
    <row r="248" spans="1:2" s="38" customFormat="1" ht="15">
      <c r="A248"/>
      <c r="B248"/>
    </row>
    <row r="249" spans="1:2" s="38" customFormat="1" ht="15">
      <c r="A249"/>
      <c r="B249"/>
    </row>
    <row r="250" spans="1:2" s="38" customFormat="1" ht="15">
      <c r="A250"/>
      <c r="B250"/>
    </row>
    <row r="251" spans="1:2" s="38" customFormat="1" ht="15">
      <c r="A251"/>
      <c r="B251"/>
    </row>
    <row r="252" spans="1:2" s="38" customFormat="1" ht="15">
      <c r="A252"/>
      <c r="B252"/>
    </row>
    <row r="253" spans="1:2" s="38" customFormat="1" ht="15">
      <c r="A253"/>
      <c r="B253"/>
    </row>
    <row r="254" spans="1:2" s="38" customFormat="1" ht="15">
      <c r="A254"/>
      <c r="B254"/>
    </row>
    <row r="255" spans="1:2" s="38" customFormat="1" ht="15">
      <c r="A255"/>
      <c r="B255"/>
    </row>
    <row r="256" spans="1:2" s="38" customFormat="1" ht="15">
      <c r="A256"/>
      <c r="B256"/>
    </row>
    <row r="257" spans="1:2" s="38" customFormat="1" ht="15">
      <c r="A257"/>
      <c r="B257"/>
    </row>
    <row r="258" spans="1:2" s="38" customFormat="1" ht="15">
      <c r="A258"/>
      <c r="B258"/>
    </row>
    <row r="259" spans="1:2" s="38" customFormat="1" ht="15">
      <c r="A259"/>
      <c r="B259"/>
    </row>
    <row r="260" spans="1:2" s="38" customFormat="1" ht="15">
      <c r="A260"/>
      <c r="B260"/>
    </row>
    <row r="261" spans="1:2" s="38" customFormat="1" ht="15">
      <c r="A261"/>
      <c r="B261"/>
    </row>
    <row r="262" spans="1:2" s="38" customFormat="1" ht="15">
      <c r="A262"/>
      <c r="B262"/>
    </row>
    <row r="263" spans="1:2" s="38" customFormat="1" ht="15">
      <c r="A263"/>
      <c r="B263"/>
    </row>
    <row r="264" spans="1:2" s="38" customFormat="1" ht="15">
      <c r="A264"/>
      <c r="B264"/>
    </row>
    <row r="265" spans="1:2" s="38" customFormat="1" ht="15">
      <c r="A265"/>
      <c r="B265"/>
    </row>
    <row r="266" spans="1:2" s="38" customFormat="1" ht="15">
      <c r="A266"/>
      <c r="B266"/>
    </row>
    <row r="267" spans="1:2" s="38" customFormat="1" ht="15">
      <c r="A267"/>
      <c r="B267"/>
    </row>
    <row r="268" spans="1:2" s="38" customFormat="1" ht="15">
      <c r="A268"/>
      <c r="B268"/>
    </row>
    <row r="269" spans="1:2" s="38" customFormat="1" ht="15">
      <c r="A269"/>
      <c r="B269"/>
    </row>
    <row r="270" spans="1:2" s="38" customFormat="1" ht="15">
      <c r="A270"/>
      <c r="B270"/>
    </row>
    <row r="271" spans="1:2" s="38" customFormat="1" ht="15">
      <c r="A271"/>
      <c r="B271"/>
    </row>
    <row r="272" spans="1:2" s="38" customFormat="1" ht="15">
      <c r="A272"/>
      <c r="B272"/>
    </row>
    <row r="273" spans="1:2" s="38" customFormat="1" ht="15">
      <c r="A273"/>
      <c r="B273"/>
    </row>
    <row r="274" spans="1:2" s="38" customFormat="1" ht="15">
      <c r="A274"/>
      <c r="B274"/>
    </row>
    <row r="275" spans="1:2" s="38" customFormat="1" ht="15">
      <c r="A275"/>
      <c r="B275"/>
    </row>
    <row r="276" spans="1:2" s="38" customFormat="1" ht="15">
      <c r="A276"/>
      <c r="B276"/>
    </row>
    <row r="277" spans="1:2" s="38" customFormat="1" ht="15">
      <c r="A277"/>
      <c r="B277"/>
    </row>
    <row r="278" spans="1:2" s="38" customFormat="1" ht="15">
      <c r="A278"/>
      <c r="B278"/>
    </row>
    <row r="279" spans="1:2" s="38" customFormat="1" ht="15">
      <c r="A279"/>
      <c r="B279"/>
    </row>
    <row r="280" spans="1:2" s="38" customFormat="1" ht="15">
      <c r="A280"/>
      <c r="B280"/>
    </row>
    <row r="281" spans="1:2" s="38" customFormat="1" ht="15">
      <c r="A281"/>
      <c r="B281"/>
    </row>
    <row r="282" spans="1:2" s="38" customFormat="1" ht="15">
      <c r="A282"/>
      <c r="B282"/>
    </row>
    <row r="283" spans="1:2" s="38" customFormat="1" ht="15">
      <c r="A283"/>
      <c r="B283"/>
    </row>
    <row r="284" spans="1:2" s="38" customFormat="1" ht="15">
      <c r="A284"/>
      <c r="B284"/>
    </row>
    <row r="285" spans="1:2" s="38" customFormat="1" ht="15">
      <c r="A285"/>
      <c r="B285"/>
    </row>
    <row r="286" spans="1:2" s="38" customFormat="1" ht="15">
      <c r="A286"/>
      <c r="B286"/>
    </row>
    <row r="287" spans="1:2" s="38" customFormat="1" ht="15">
      <c r="A287"/>
      <c r="B287"/>
    </row>
    <row r="288" spans="1:2" s="38" customFormat="1" ht="15">
      <c r="A288"/>
      <c r="B288"/>
    </row>
    <row r="289" spans="1:2" s="38" customFormat="1" ht="15">
      <c r="A289"/>
      <c r="B289"/>
    </row>
    <row r="290" spans="1:2" s="38" customFormat="1" ht="15">
      <c r="A290"/>
      <c r="B290"/>
    </row>
    <row r="291" spans="1:2" s="38" customFormat="1" ht="15">
      <c r="A291"/>
      <c r="B291"/>
    </row>
    <row r="292" spans="1:2" s="38" customFormat="1" ht="15">
      <c r="A292"/>
      <c r="B292"/>
    </row>
    <row r="293" spans="1:2" s="38" customFormat="1" ht="15">
      <c r="A293"/>
      <c r="B293"/>
    </row>
    <row r="294" spans="1:2" s="38" customFormat="1" ht="15">
      <c r="A294"/>
      <c r="B294"/>
    </row>
    <row r="295" spans="1:2" s="38" customFormat="1" ht="15">
      <c r="A295"/>
      <c r="B295"/>
    </row>
    <row r="296" spans="1:2" s="38" customFormat="1" ht="15">
      <c r="A296"/>
      <c r="B296"/>
    </row>
    <row r="297" spans="1:2" s="38" customFormat="1" ht="15">
      <c r="A297"/>
      <c r="B297"/>
    </row>
    <row r="298" spans="1:2" s="38" customFormat="1" ht="15">
      <c r="A298"/>
      <c r="B298"/>
    </row>
    <row r="299" spans="1:2" s="38" customFormat="1" ht="15">
      <c r="A299"/>
      <c r="B299"/>
    </row>
    <row r="300" spans="1:2" s="38" customFormat="1" ht="15">
      <c r="A300"/>
      <c r="B300"/>
    </row>
    <row r="301" spans="1:2" s="38" customFormat="1" ht="15">
      <c r="A301"/>
      <c r="B301"/>
    </row>
    <row r="302" spans="1:2" s="38" customFormat="1" ht="15">
      <c r="A302"/>
      <c r="B302"/>
    </row>
    <row r="303" spans="1:2" s="38" customFormat="1" ht="15">
      <c r="A303"/>
      <c r="B303"/>
    </row>
    <row r="304" spans="1:2" s="38" customFormat="1" ht="15">
      <c r="A304"/>
      <c r="B304"/>
    </row>
    <row r="305" spans="1:2" s="38" customFormat="1" ht="15">
      <c r="A305"/>
      <c r="B305"/>
    </row>
    <row r="306" spans="1:2" s="38" customFormat="1" ht="15">
      <c r="A306"/>
      <c r="B306"/>
    </row>
    <row r="307" spans="1:2" s="38" customFormat="1" ht="15">
      <c r="A307"/>
      <c r="B307"/>
    </row>
    <row r="308" spans="1:2" s="38" customFormat="1" ht="15">
      <c r="A308"/>
      <c r="B308"/>
    </row>
    <row r="309" spans="1:2" s="38" customFormat="1" ht="15">
      <c r="A309"/>
      <c r="B309"/>
    </row>
    <row r="310" spans="1:2" s="38" customFormat="1" ht="15">
      <c r="A310"/>
      <c r="B310"/>
    </row>
    <row r="311" spans="1:2" s="38" customFormat="1" ht="15">
      <c r="A311"/>
      <c r="B311"/>
    </row>
    <row r="312" spans="1:2" s="38" customFormat="1" ht="15">
      <c r="A312"/>
      <c r="B312"/>
    </row>
    <row r="313" spans="1:2" s="38" customFormat="1" ht="15">
      <c r="A313"/>
      <c r="B313"/>
    </row>
    <row r="314" spans="1:2" s="38" customFormat="1" ht="15">
      <c r="A314"/>
      <c r="B314"/>
    </row>
    <row r="315" spans="1:2" s="38" customFormat="1" ht="15">
      <c r="A315"/>
      <c r="B315"/>
    </row>
    <row r="316" spans="1:2" s="38" customFormat="1" ht="15">
      <c r="A316"/>
      <c r="B316"/>
    </row>
    <row r="317" spans="1:2" s="38" customFormat="1" ht="15">
      <c r="A317"/>
      <c r="B317"/>
    </row>
    <row r="318" spans="1:2" s="38" customFormat="1" ht="15">
      <c r="A318"/>
      <c r="B318"/>
    </row>
    <row r="319" spans="1:2" s="38" customFormat="1" ht="15">
      <c r="A319"/>
      <c r="B319"/>
    </row>
    <row r="320" spans="1:2" s="38" customFormat="1" ht="15">
      <c r="A320"/>
      <c r="B320"/>
    </row>
    <row r="321" spans="1:2" s="38" customFormat="1" ht="15">
      <c r="A321"/>
      <c r="B321"/>
    </row>
    <row r="322" spans="1:2" s="38" customFormat="1" ht="15">
      <c r="A322"/>
      <c r="B322"/>
    </row>
    <row r="323" spans="1:2" s="38" customFormat="1" ht="15">
      <c r="A323"/>
      <c r="B323"/>
    </row>
    <row r="324" spans="1:2" s="38" customFormat="1" ht="15">
      <c r="A324"/>
      <c r="B324"/>
    </row>
    <row r="325" spans="1:2" s="38" customFormat="1" ht="15">
      <c r="A325"/>
      <c r="B325"/>
    </row>
    <row r="326" spans="1:2" s="38" customFormat="1" ht="15">
      <c r="A326"/>
      <c r="B326"/>
    </row>
    <row r="327" spans="1:2" s="38" customFormat="1" ht="15">
      <c r="A327"/>
      <c r="B327"/>
    </row>
    <row r="328" spans="1:2" s="38" customFormat="1" ht="15">
      <c r="A328"/>
      <c r="B328"/>
    </row>
    <row r="329" spans="1:2" s="38" customFormat="1" ht="15">
      <c r="A329"/>
      <c r="B329"/>
    </row>
    <row r="330" spans="1:2" s="38" customFormat="1" ht="15">
      <c r="A330"/>
      <c r="B330"/>
    </row>
    <row r="331" spans="1:2" s="38" customFormat="1" ht="15">
      <c r="A331"/>
      <c r="B331"/>
    </row>
    <row r="332" spans="1:2" s="38" customFormat="1" ht="15">
      <c r="A332"/>
      <c r="B332"/>
    </row>
    <row r="333" spans="1:2" s="38" customFormat="1" ht="15">
      <c r="A333"/>
      <c r="B333"/>
    </row>
    <row r="334" spans="1:2" s="38" customFormat="1" ht="15">
      <c r="A334"/>
      <c r="B334"/>
    </row>
    <row r="335" spans="1:2" s="38" customFormat="1" ht="15">
      <c r="A335"/>
      <c r="B335"/>
    </row>
    <row r="336" spans="1:2" s="38" customFormat="1" ht="15">
      <c r="A336"/>
      <c r="B336"/>
    </row>
    <row r="337" spans="1:2" s="38" customFormat="1" ht="15">
      <c r="A337"/>
      <c r="B337"/>
    </row>
    <row r="338" spans="1:2" s="38" customFormat="1" ht="15">
      <c r="A338"/>
      <c r="B338"/>
    </row>
    <row r="339" spans="1:2" s="38" customFormat="1" ht="15">
      <c r="A339"/>
      <c r="B339"/>
    </row>
    <row r="340" spans="1:2" s="38" customFormat="1" ht="15">
      <c r="A340"/>
      <c r="B340"/>
    </row>
    <row r="341" spans="1:2" s="38" customFormat="1" ht="15">
      <c r="A341"/>
      <c r="B341"/>
    </row>
    <row r="342" spans="1:2" s="38" customFormat="1" ht="15">
      <c r="A342"/>
      <c r="B342"/>
    </row>
    <row r="343" spans="1:2" s="38" customFormat="1" ht="15">
      <c r="A343"/>
      <c r="B343"/>
    </row>
    <row r="344" spans="1:2" s="38" customFormat="1" ht="15">
      <c r="A344"/>
      <c r="B344"/>
    </row>
    <row r="345" spans="1:2" s="38" customFormat="1" ht="15">
      <c r="A345"/>
      <c r="B345"/>
    </row>
    <row r="346" spans="1:2" s="38" customFormat="1" ht="15">
      <c r="A346"/>
      <c r="B346"/>
    </row>
    <row r="347" spans="1:2" s="38" customFormat="1" ht="15">
      <c r="A347"/>
      <c r="B347"/>
    </row>
    <row r="348" spans="1:2" s="38" customFormat="1" ht="15">
      <c r="A348"/>
      <c r="B348"/>
    </row>
    <row r="349" spans="1:2" s="38" customFormat="1" ht="15">
      <c r="A349"/>
      <c r="B349"/>
    </row>
    <row r="350" spans="1:2" s="38" customFormat="1" ht="15">
      <c r="A350"/>
      <c r="B350"/>
    </row>
    <row r="351" spans="1:2" s="38" customFormat="1" ht="15">
      <c r="A351"/>
      <c r="B351"/>
    </row>
    <row r="352" spans="1:2" s="38" customFormat="1" ht="15">
      <c r="A352"/>
      <c r="B352"/>
    </row>
    <row r="353" spans="1:2" s="38" customFormat="1" ht="15">
      <c r="A353"/>
      <c r="B353"/>
    </row>
    <row r="354" spans="1:2" s="38" customFormat="1" ht="15">
      <c r="A354"/>
      <c r="B354"/>
    </row>
    <row r="355" spans="1:2" s="38" customFormat="1" ht="15">
      <c r="A355"/>
      <c r="B355"/>
    </row>
    <row r="356" spans="1:2" s="38" customFormat="1" ht="15">
      <c r="A356"/>
      <c r="B356"/>
    </row>
    <row r="357" spans="1:2" s="38" customFormat="1" ht="15">
      <c r="A357"/>
      <c r="B357"/>
    </row>
    <row r="358" spans="1:2" s="38" customFormat="1" ht="15">
      <c r="A358"/>
      <c r="B358"/>
    </row>
    <row r="359" spans="1:2" s="38" customFormat="1" ht="15">
      <c r="A359"/>
      <c r="B359"/>
    </row>
    <row r="360" spans="1:2" s="38" customFormat="1" ht="15">
      <c r="A360"/>
      <c r="B360"/>
    </row>
    <row r="361" spans="1:2" s="38" customFormat="1" ht="15">
      <c r="A361"/>
      <c r="B361"/>
    </row>
    <row r="362" spans="1:2" s="38" customFormat="1" ht="15">
      <c r="A362"/>
      <c r="B362"/>
    </row>
    <row r="363" spans="1:2" s="38" customFormat="1" ht="15">
      <c r="A363"/>
      <c r="B363"/>
    </row>
    <row r="364" spans="1:2" s="38" customFormat="1" ht="15">
      <c r="A364"/>
      <c r="B364"/>
    </row>
    <row r="365" spans="1:2" s="38" customFormat="1" ht="15">
      <c r="A365"/>
      <c r="B365"/>
    </row>
    <row r="366" spans="1:2" s="38" customFormat="1" ht="15">
      <c r="A366"/>
      <c r="B366"/>
    </row>
    <row r="367" spans="1:2" s="38" customFormat="1" ht="15">
      <c r="A367"/>
      <c r="B367"/>
    </row>
    <row r="368" spans="1:2" s="38" customFormat="1" ht="15">
      <c r="A368"/>
      <c r="B368"/>
    </row>
    <row r="369" spans="1:2" s="38" customFormat="1" ht="15">
      <c r="A369"/>
      <c r="B369"/>
    </row>
    <row r="370" spans="1:2" s="38" customFormat="1" ht="15">
      <c r="A370"/>
      <c r="B370"/>
    </row>
    <row r="371" spans="1:2" s="38" customFormat="1" ht="15">
      <c r="A371"/>
      <c r="B371"/>
    </row>
    <row r="372" spans="1:2" s="38" customFormat="1" ht="15">
      <c r="A372"/>
      <c r="B372"/>
    </row>
    <row r="373" spans="1:2" s="38" customFormat="1" ht="15">
      <c r="A373"/>
      <c r="B373"/>
    </row>
    <row r="374" spans="1:2" s="38" customFormat="1" ht="15">
      <c r="A374"/>
      <c r="B374"/>
    </row>
    <row r="375" spans="1:2" s="38" customFormat="1" ht="15">
      <c r="A375"/>
      <c r="B375"/>
    </row>
    <row r="376" spans="1:2" s="38" customFormat="1" ht="15">
      <c r="A376"/>
      <c r="B376"/>
    </row>
    <row r="377" spans="1:2" s="38" customFormat="1" ht="15">
      <c r="A377"/>
      <c r="B377"/>
    </row>
    <row r="378" spans="1:2" s="38" customFormat="1" ht="15">
      <c r="A378"/>
      <c r="B378"/>
    </row>
    <row r="379" spans="1:2" s="38" customFormat="1" ht="15">
      <c r="A379"/>
      <c r="B379"/>
    </row>
    <row r="380" spans="1:2" s="38" customFormat="1" ht="15">
      <c r="A380"/>
      <c r="B380"/>
    </row>
    <row r="381" spans="1:2" s="38" customFormat="1" ht="15">
      <c r="A381"/>
      <c r="B381"/>
    </row>
    <row r="382" spans="1:2" s="38" customFormat="1" ht="15">
      <c r="A382"/>
      <c r="B382"/>
    </row>
    <row r="383" spans="1:2" s="38" customFormat="1" ht="15">
      <c r="A383"/>
      <c r="B383"/>
    </row>
    <row r="384" spans="1:2" s="38" customFormat="1" ht="15">
      <c r="A384"/>
      <c r="B384"/>
    </row>
    <row r="385" spans="1:2" s="38" customFormat="1" ht="15">
      <c r="A385"/>
      <c r="B385"/>
    </row>
    <row r="386" spans="1:2" s="38" customFormat="1" ht="15">
      <c r="A386"/>
      <c r="B386"/>
    </row>
    <row r="387" spans="1:2" s="38" customFormat="1" ht="15">
      <c r="A387"/>
      <c r="B387"/>
    </row>
    <row r="388" spans="1:2" s="38" customFormat="1" ht="15">
      <c r="A388"/>
      <c r="B388"/>
    </row>
    <row r="389" spans="1:2" s="38" customFormat="1" ht="15">
      <c r="A389"/>
      <c r="B389"/>
    </row>
    <row r="390" spans="1:2" s="38" customFormat="1" ht="15">
      <c r="A390"/>
      <c r="B390"/>
    </row>
    <row r="391" spans="1:2" s="38" customFormat="1" ht="15">
      <c r="A391"/>
      <c r="B391"/>
    </row>
    <row r="392" spans="1:2" s="38" customFormat="1" ht="15">
      <c r="A392"/>
      <c r="B392"/>
    </row>
    <row r="393" spans="1:2" s="38" customFormat="1" ht="15">
      <c r="A393"/>
      <c r="B393"/>
    </row>
    <row r="394" spans="1:2" s="38" customFormat="1" ht="15">
      <c r="A394"/>
      <c r="B394"/>
    </row>
    <row r="395" spans="1:2" s="38" customFormat="1" ht="15">
      <c r="A395"/>
      <c r="B395"/>
    </row>
    <row r="396" spans="1:2" s="38" customFormat="1" ht="15">
      <c r="A396"/>
      <c r="B396"/>
    </row>
    <row r="397" spans="1:2" s="38" customFormat="1" ht="15">
      <c r="A397"/>
      <c r="B397"/>
    </row>
    <row r="398" spans="1:2" s="38" customFormat="1" ht="15">
      <c r="A398"/>
      <c r="B398"/>
    </row>
    <row r="399" spans="1:2" s="38" customFormat="1" ht="15">
      <c r="A399"/>
      <c r="B399"/>
    </row>
    <row r="400" spans="1:2" s="38" customFormat="1" ht="15">
      <c r="A400"/>
      <c r="B400"/>
    </row>
    <row r="401" s="38" customFormat="1" ht="15.75">
      <c r="B401" s="47"/>
    </row>
    <row r="402" s="38" customFormat="1" ht="15.75">
      <c r="B402" s="47"/>
    </row>
    <row r="403" s="38" customFormat="1" ht="15.75">
      <c r="B403" s="47"/>
    </row>
    <row r="404" s="38" customFormat="1" ht="15.75">
      <c r="B404" s="47"/>
    </row>
    <row r="405" s="38" customFormat="1" ht="15.75">
      <c r="B405" s="47"/>
    </row>
    <row r="406" s="38" customFormat="1" ht="15.75">
      <c r="B406" s="47"/>
    </row>
    <row r="407" s="38" customFormat="1" ht="15.75">
      <c r="B407" s="47"/>
    </row>
    <row r="408" s="38" customFormat="1" ht="15.75">
      <c r="B408" s="47"/>
    </row>
    <row r="409" s="38" customFormat="1" ht="15.75">
      <c r="B409" s="47"/>
    </row>
    <row r="410" s="38" customFormat="1" ht="15.75">
      <c r="B410" s="47"/>
    </row>
    <row r="411" s="38" customFormat="1" ht="15.75">
      <c r="B411" s="47"/>
    </row>
    <row r="412" s="38" customFormat="1" ht="15.75">
      <c r="B412" s="47"/>
    </row>
    <row r="413" s="38" customFormat="1" ht="15.75">
      <c r="B413" s="47"/>
    </row>
    <row r="414" s="38" customFormat="1" ht="15.75">
      <c r="B414" s="47"/>
    </row>
    <row r="415" s="38" customFormat="1" ht="15.75">
      <c r="B415" s="47"/>
    </row>
    <row r="416" s="38" customFormat="1" ht="15.75">
      <c r="B416" s="47"/>
    </row>
    <row r="417" s="38" customFormat="1" ht="15.75">
      <c r="B417" s="47"/>
    </row>
    <row r="418" s="38" customFormat="1" ht="15.75">
      <c r="B418" s="47"/>
    </row>
    <row r="419" s="38" customFormat="1" ht="15.75">
      <c r="B419" s="47"/>
    </row>
    <row r="420" s="38" customFormat="1" ht="15.75">
      <c r="B420" s="47"/>
    </row>
    <row r="421" s="38" customFormat="1" ht="15.75">
      <c r="B421" s="47"/>
    </row>
    <row r="422" s="38" customFormat="1" ht="15.75">
      <c r="B422" s="47"/>
    </row>
    <row r="423" s="38" customFormat="1" ht="15.75">
      <c r="B423" s="47"/>
    </row>
    <row r="424" s="38" customFormat="1" ht="15.75">
      <c r="B424" s="47"/>
    </row>
    <row r="425" s="38" customFormat="1" ht="15.75">
      <c r="B425" s="47"/>
    </row>
    <row r="426" s="38" customFormat="1" ht="15.75">
      <c r="B426" s="47"/>
    </row>
    <row r="427" s="38" customFormat="1" ht="15.75">
      <c r="B427" s="47"/>
    </row>
    <row r="428" s="38" customFormat="1" ht="15.75">
      <c r="B428" s="47"/>
    </row>
    <row r="429" s="38" customFormat="1" ht="15.75">
      <c r="B429" s="47"/>
    </row>
    <row r="430" s="38" customFormat="1" ht="15.75">
      <c r="B430" s="47"/>
    </row>
    <row r="431" s="38" customFormat="1" ht="15.75">
      <c r="B431" s="47"/>
    </row>
    <row r="432" s="38" customFormat="1" ht="15.75">
      <c r="B432" s="47"/>
    </row>
    <row r="433" s="38" customFormat="1" ht="15.75">
      <c r="B433" s="47"/>
    </row>
    <row r="434" s="38" customFormat="1" ht="15.75">
      <c r="B434" s="47"/>
    </row>
    <row r="435" s="38" customFormat="1" ht="15.75">
      <c r="B435" s="47"/>
    </row>
    <row r="436" s="38" customFormat="1" ht="15.75">
      <c r="B436" s="47"/>
    </row>
    <row r="437" s="38" customFormat="1" ht="15.75">
      <c r="B437" s="47"/>
    </row>
    <row r="438" s="38" customFormat="1" ht="15.75">
      <c r="B438" s="47"/>
    </row>
    <row r="439" s="38" customFormat="1" ht="15.75">
      <c r="B439" s="47"/>
    </row>
    <row r="440" s="38" customFormat="1" ht="15.75">
      <c r="B440" s="47"/>
    </row>
    <row r="441" s="38" customFormat="1" ht="15.75">
      <c r="B441" s="47"/>
    </row>
    <row r="442" s="38" customFormat="1" ht="15.75">
      <c r="B442" s="47"/>
    </row>
    <row r="443" s="38" customFormat="1" ht="15.75">
      <c r="B443" s="47"/>
    </row>
    <row r="444" s="38" customFormat="1" ht="15.75">
      <c r="B444" s="47"/>
    </row>
    <row r="445" s="38" customFormat="1" ht="15.75">
      <c r="B445" s="47"/>
    </row>
    <row r="446" s="38" customFormat="1" ht="15.75">
      <c r="B446" s="47"/>
    </row>
    <row r="447" s="38" customFormat="1" ht="15.75">
      <c r="B447" s="47"/>
    </row>
    <row r="448" s="38" customFormat="1" ht="15.75">
      <c r="B448" s="47"/>
    </row>
    <row r="449" s="38" customFormat="1" ht="15.75">
      <c r="B449" s="47"/>
    </row>
    <row r="450" s="38" customFormat="1" ht="15.75">
      <c r="B450" s="47"/>
    </row>
    <row r="451" s="38" customFormat="1" ht="15.75">
      <c r="B451" s="47"/>
    </row>
    <row r="452" s="38" customFormat="1" ht="15.75">
      <c r="B452" s="47"/>
    </row>
    <row r="453" s="38" customFormat="1" ht="15.75">
      <c r="B453" s="47"/>
    </row>
    <row r="454" s="38" customFormat="1" ht="15.75">
      <c r="B454" s="47"/>
    </row>
    <row r="455" s="38" customFormat="1" ht="15.75">
      <c r="B455" s="47"/>
    </row>
    <row r="456" s="38" customFormat="1" ht="15.75">
      <c r="B456" s="47"/>
    </row>
    <row r="457" s="38" customFormat="1" ht="15.75">
      <c r="B457" s="47"/>
    </row>
    <row r="458" s="38" customFormat="1" ht="15.75">
      <c r="B458" s="47"/>
    </row>
    <row r="459" s="38" customFormat="1" ht="15.75">
      <c r="B459" s="47"/>
    </row>
    <row r="460" s="38" customFormat="1" ht="15.75">
      <c r="B460" s="47"/>
    </row>
    <row r="461" s="38" customFormat="1" ht="15.75">
      <c r="B461" s="47"/>
    </row>
    <row r="462" s="38" customFormat="1" ht="15.75">
      <c r="B462" s="47"/>
    </row>
    <row r="463" s="38" customFormat="1" ht="15.75">
      <c r="B463" s="47"/>
    </row>
    <row r="464" s="38" customFormat="1" ht="15.75">
      <c r="B464" s="47"/>
    </row>
    <row r="465" s="38" customFormat="1" ht="15.75">
      <c r="B465" s="47"/>
    </row>
    <row r="466" s="38" customFormat="1" ht="15.75">
      <c r="B466" s="47"/>
    </row>
    <row r="467" s="38" customFormat="1" ht="15.75">
      <c r="B467" s="47"/>
    </row>
    <row r="468" s="38" customFormat="1" ht="15.75">
      <c r="B468" s="47"/>
    </row>
    <row r="469" s="38" customFormat="1" ht="15.75">
      <c r="B469" s="47"/>
    </row>
    <row r="470" s="38" customFormat="1" ht="15.75">
      <c r="B470" s="47"/>
    </row>
    <row r="471" s="38" customFormat="1" ht="15.75">
      <c r="B471" s="47"/>
    </row>
    <row r="472" s="38" customFormat="1" ht="15.75">
      <c r="B472" s="47"/>
    </row>
    <row r="473" s="38" customFormat="1" ht="15.75">
      <c r="B473" s="47"/>
    </row>
    <row r="474" s="38" customFormat="1" ht="15.75">
      <c r="B474" s="47"/>
    </row>
    <row r="475" s="38" customFormat="1" ht="15.75">
      <c r="B475" s="47"/>
    </row>
    <row r="476" s="38" customFormat="1" ht="15.75">
      <c r="B476" s="47"/>
    </row>
    <row r="477" s="38" customFormat="1" ht="15.75">
      <c r="B477" s="47"/>
    </row>
    <row r="478" s="38" customFormat="1" ht="15.75">
      <c r="B478" s="47"/>
    </row>
    <row r="479" s="38" customFormat="1" ht="15.75">
      <c r="B479" s="47"/>
    </row>
    <row r="480" s="38" customFormat="1" ht="15.75">
      <c r="B480" s="47"/>
    </row>
    <row r="481" s="38" customFormat="1" ht="15.75">
      <c r="B481" s="47"/>
    </row>
    <row r="482" s="38" customFormat="1" ht="15.75">
      <c r="B482" s="47"/>
    </row>
    <row r="483" s="38" customFormat="1" ht="15.75">
      <c r="B483" s="47"/>
    </row>
    <row r="484" s="38" customFormat="1" ht="15.75">
      <c r="B484" s="47"/>
    </row>
    <row r="485" s="38" customFormat="1" ht="15.75">
      <c r="B485" s="47"/>
    </row>
    <row r="486" s="38" customFormat="1" ht="15.75">
      <c r="B486" s="47"/>
    </row>
    <row r="487" s="38" customFormat="1" ht="15.75">
      <c r="B487" s="47"/>
    </row>
    <row r="488" s="38" customFormat="1" ht="15.75">
      <c r="B488" s="47"/>
    </row>
    <row r="489" s="38" customFormat="1" ht="15.75">
      <c r="B489" s="47"/>
    </row>
    <row r="490" s="38" customFormat="1" ht="15.75">
      <c r="B490" s="47"/>
    </row>
    <row r="491" s="38" customFormat="1" ht="15.75">
      <c r="B491" s="47"/>
    </row>
    <row r="492" s="38" customFormat="1" ht="15.75">
      <c r="B492" s="47"/>
    </row>
    <row r="493" s="38" customFormat="1" ht="15.75">
      <c r="B493" s="47"/>
    </row>
    <row r="494" s="38" customFormat="1" ht="15.75">
      <c r="B494" s="47"/>
    </row>
    <row r="495" s="38" customFormat="1" ht="15.75">
      <c r="B495" s="47"/>
    </row>
    <row r="496" s="38" customFormat="1" ht="15.75">
      <c r="B496" s="47"/>
    </row>
    <row r="497" s="38" customFormat="1" ht="15.75">
      <c r="B497" s="47"/>
    </row>
    <row r="498" s="38" customFormat="1" ht="15.75">
      <c r="B498" s="47"/>
    </row>
    <row r="499" s="38" customFormat="1" ht="15.75">
      <c r="B499" s="47"/>
    </row>
    <row r="500" s="38" customFormat="1" ht="15.75">
      <c r="B500" s="47"/>
    </row>
    <row r="501" s="38" customFormat="1" ht="15.75">
      <c r="B501" s="47"/>
    </row>
    <row r="502" s="38" customFormat="1" ht="15.75">
      <c r="B502" s="47"/>
    </row>
    <row r="503" s="38" customFormat="1" ht="15.75">
      <c r="B503" s="47"/>
    </row>
    <row r="504" s="38" customFormat="1" ht="15.75">
      <c r="B504" s="47"/>
    </row>
    <row r="505" s="38" customFormat="1" ht="15.75">
      <c r="B505" s="47"/>
    </row>
    <row r="506" s="38" customFormat="1" ht="15.75">
      <c r="B506" s="47"/>
    </row>
    <row r="507" s="38" customFormat="1" ht="15.75">
      <c r="B507" s="47"/>
    </row>
    <row r="508" s="38" customFormat="1" ht="15.75">
      <c r="B508" s="47"/>
    </row>
    <row r="509" s="38" customFormat="1" ht="15.75">
      <c r="B509" s="47"/>
    </row>
    <row r="510" s="38" customFormat="1" ht="15.75">
      <c r="B510" s="47"/>
    </row>
    <row r="511" s="38" customFormat="1" ht="15.75">
      <c r="B511" s="47"/>
    </row>
    <row r="512" s="38" customFormat="1" ht="15.75">
      <c r="B512" s="47"/>
    </row>
    <row r="513" s="38" customFormat="1" ht="15.75">
      <c r="B513" s="47"/>
    </row>
    <row r="514" s="38" customFormat="1" ht="15.75">
      <c r="B514" s="47"/>
    </row>
    <row r="515" s="38" customFormat="1" ht="15.75">
      <c r="B515" s="47"/>
    </row>
    <row r="516" s="38" customFormat="1" ht="15.75">
      <c r="B516" s="47"/>
    </row>
    <row r="517" s="38" customFormat="1" ht="15.75">
      <c r="B517" s="47"/>
    </row>
    <row r="518" s="38" customFormat="1" ht="15.75">
      <c r="B518" s="47"/>
    </row>
    <row r="519" s="38" customFormat="1" ht="15.75">
      <c r="B519" s="47"/>
    </row>
    <row r="520" s="38" customFormat="1" ht="15.75">
      <c r="B520" s="47"/>
    </row>
    <row r="521" s="38" customFormat="1" ht="15.75">
      <c r="B521" s="47"/>
    </row>
    <row r="522" s="38" customFormat="1" ht="15.75">
      <c r="B522" s="47"/>
    </row>
    <row r="523" s="38" customFormat="1" ht="15.75">
      <c r="B523" s="47"/>
    </row>
    <row r="524" s="38" customFormat="1" ht="15.75">
      <c r="B524" s="47"/>
    </row>
    <row r="525" s="38" customFormat="1" ht="15.75">
      <c r="B525" s="47"/>
    </row>
    <row r="526" s="38" customFormat="1" ht="15.75">
      <c r="B526" s="47"/>
    </row>
    <row r="527" s="38" customFormat="1" ht="15.75">
      <c r="B527" s="47"/>
    </row>
    <row r="528" s="38" customFormat="1" ht="15.75">
      <c r="B528" s="47"/>
    </row>
    <row r="529" s="38" customFormat="1" ht="15.75">
      <c r="B529" s="47"/>
    </row>
    <row r="530" s="38" customFormat="1" ht="15.75">
      <c r="B530" s="47"/>
    </row>
    <row r="531" s="38" customFormat="1" ht="15.75">
      <c r="B531" s="47"/>
    </row>
    <row r="532" s="38" customFormat="1" ht="15.75">
      <c r="B532" s="47"/>
    </row>
    <row r="533" s="38" customFormat="1" ht="15.75">
      <c r="B533" s="47"/>
    </row>
    <row r="534" s="38" customFormat="1" ht="15.75">
      <c r="B534" s="47"/>
    </row>
    <row r="535" s="38" customFormat="1" ht="15.75">
      <c r="B535" s="47"/>
    </row>
    <row r="536" s="38" customFormat="1" ht="15.75">
      <c r="B536" s="47"/>
    </row>
    <row r="537" s="38" customFormat="1" ht="15.75">
      <c r="B537" s="47"/>
    </row>
    <row r="538" s="38" customFormat="1" ht="15.75">
      <c r="B538" s="47"/>
    </row>
    <row r="539" s="38" customFormat="1" ht="15.75">
      <c r="B539" s="47"/>
    </row>
    <row r="540" s="38" customFormat="1" ht="15.75">
      <c r="B540" s="47"/>
    </row>
    <row r="541" s="38" customFormat="1" ht="15.75">
      <c r="B541" s="47"/>
    </row>
    <row r="542" s="38" customFormat="1" ht="15.75">
      <c r="B542" s="47"/>
    </row>
    <row r="543" s="38" customFormat="1" ht="15.75">
      <c r="B543" s="47"/>
    </row>
    <row r="544" s="38" customFormat="1" ht="15.75">
      <c r="B544" s="47"/>
    </row>
    <row r="545" s="38" customFormat="1" ht="15.75">
      <c r="B545" s="47"/>
    </row>
    <row r="546" s="38" customFormat="1" ht="15.75">
      <c r="B546" s="47"/>
    </row>
    <row r="547" s="38" customFormat="1" ht="15.75">
      <c r="B547" s="47"/>
    </row>
    <row r="548" s="38" customFormat="1" ht="15.75">
      <c r="B548" s="47"/>
    </row>
    <row r="549" s="38" customFormat="1" ht="15.75">
      <c r="B549" s="47"/>
    </row>
    <row r="550" s="38" customFormat="1" ht="15.75">
      <c r="B550" s="47"/>
    </row>
    <row r="551" s="38" customFormat="1" ht="15.75">
      <c r="B551" s="47"/>
    </row>
  </sheetData>
  <sheetProtection password="CFC9" sheet="1" objects="1" scenarios="1"/>
  <mergeCells count="2">
    <mergeCell ref="A2:C2"/>
    <mergeCell ref="A7:C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2:F551"/>
  <sheetViews>
    <sheetView showGridLines="0" zoomScalePageLayoutView="0" workbookViewId="0" topLeftCell="A1">
      <selection activeCell="A1" sqref="A1"/>
    </sheetView>
  </sheetViews>
  <sheetFormatPr defaultColWidth="0" defaultRowHeight="15"/>
  <cols>
    <col min="1" max="1" width="62.8515625" style="0" customWidth="1"/>
    <col min="2" max="2" width="8.8515625" style="42" customWidth="1"/>
    <col min="3" max="3" width="41.7109375" style="0" customWidth="1"/>
    <col min="4" max="4" width="2.7109375" style="0" customWidth="1"/>
    <col min="5" max="16384" width="0" style="0" hidden="1" customWidth="1"/>
  </cols>
  <sheetData>
    <row r="2" spans="1:3" ht="81" customHeight="1">
      <c r="A2" s="188" t="s">
        <v>133</v>
      </c>
      <c r="B2" s="189"/>
      <c r="C2" s="190"/>
    </row>
    <row r="3" spans="1:3" ht="15.75" customHeight="1">
      <c r="A3" s="26"/>
      <c r="B3" s="43"/>
      <c r="C3" s="26"/>
    </row>
    <row r="4" spans="1:2" s="38" customFormat="1" ht="15" customHeight="1">
      <c r="A4" s="55" t="s">
        <v>32</v>
      </c>
      <c r="B4" s="44">
        <v>80</v>
      </c>
    </row>
    <row r="5" spans="1:2" s="38" customFormat="1" ht="15.75">
      <c r="A5" s="56" t="s">
        <v>42</v>
      </c>
      <c r="B5" s="45">
        <v>30</v>
      </c>
    </row>
    <row r="6" spans="1:2" s="38" customFormat="1" ht="36.75" customHeight="1">
      <c r="A6" s="56"/>
      <c r="B6" s="45"/>
    </row>
    <row r="7" spans="1:4" s="49" customFormat="1" ht="17.25" customHeight="1">
      <c r="A7" s="191"/>
      <c r="B7" s="191"/>
      <c r="C7" s="191"/>
      <c r="D7" s="46"/>
    </row>
    <row r="8" spans="1:3" s="38" customFormat="1" ht="31.5" customHeight="1">
      <c r="A8"/>
      <c r="B8"/>
      <c r="C8" s="64"/>
    </row>
    <row r="9" spans="1:2" s="38" customFormat="1" ht="15">
      <c r="A9"/>
      <c r="B9"/>
    </row>
    <row r="10" spans="1:2" s="38" customFormat="1" ht="15">
      <c r="A10"/>
      <c r="B10"/>
    </row>
    <row r="11" spans="1:2" s="38" customFormat="1" ht="15">
      <c r="A11"/>
      <c r="B11"/>
    </row>
    <row r="12" spans="1:2" s="38" customFormat="1" ht="15">
      <c r="A12"/>
      <c r="B12"/>
    </row>
    <row r="13" spans="1:2" s="38" customFormat="1" ht="15">
      <c r="A13"/>
      <c r="B13"/>
    </row>
    <row r="14" spans="1:2" s="38" customFormat="1" ht="15">
      <c r="A14"/>
      <c r="B14"/>
    </row>
    <row r="15" spans="1:2" s="38" customFormat="1" ht="15">
      <c r="A15"/>
      <c r="B15"/>
    </row>
    <row r="16" spans="1:2" s="38" customFormat="1" ht="15">
      <c r="A16"/>
      <c r="B16"/>
    </row>
    <row r="17" spans="1:2" s="38" customFormat="1" ht="15">
      <c r="A17"/>
      <c r="B17"/>
    </row>
    <row r="18" spans="1:2" s="38" customFormat="1" ht="15">
      <c r="A18"/>
      <c r="B18"/>
    </row>
    <row r="19" spans="1:2" s="38" customFormat="1" ht="15">
      <c r="A19"/>
      <c r="B19"/>
    </row>
    <row r="20" spans="1:2" s="38" customFormat="1" ht="15">
      <c r="A20"/>
      <c r="B20"/>
    </row>
    <row r="21" spans="1:2" s="38" customFormat="1" ht="15">
      <c r="A21"/>
      <c r="B21"/>
    </row>
    <row r="22" spans="1:2" s="38" customFormat="1" ht="15">
      <c r="A22"/>
      <c r="B22"/>
    </row>
    <row r="23" spans="1:2" s="38" customFormat="1" ht="15">
      <c r="A23"/>
      <c r="B23"/>
    </row>
    <row r="24" spans="1:6" s="38" customFormat="1" ht="15">
      <c r="A24"/>
      <c r="B24"/>
      <c r="C24" s="51"/>
      <c r="D24" s="51"/>
      <c r="E24" s="51"/>
      <c r="F24" s="51"/>
    </row>
    <row r="25" spans="1:6" s="38" customFormat="1" ht="15">
      <c r="A25"/>
      <c r="B25"/>
      <c r="C25" s="51"/>
      <c r="D25" s="51"/>
      <c r="E25" s="51"/>
      <c r="F25" s="51"/>
    </row>
    <row r="26" spans="1:6" s="38" customFormat="1" ht="15">
      <c r="A26"/>
      <c r="B26"/>
      <c r="C26" s="51"/>
      <c r="D26" s="51"/>
      <c r="E26" s="51"/>
      <c r="F26" s="51"/>
    </row>
    <row r="27" spans="1:6" s="38" customFormat="1" ht="15">
      <c r="A27"/>
      <c r="B27"/>
      <c r="C27" s="51"/>
      <c r="D27" s="51"/>
      <c r="E27" s="51"/>
      <c r="F27" s="51"/>
    </row>
    <row r="28" spans="1:6" s="38" customFormat="1" ht="15">
      <c r="A28"/>
      <c r="B28"/>
      <c r="C28" s="51"/>
      <c r="D28" s="51"/>
      <c r="E28" s="51"/>
      <c r="F28" s="51"/>
    </row>
    <row r="29" spans="1:6" s="38" customFormat="1" ht="15">
      <c r="A29"/>
      <c r="B29"/>
      <c r="C29" s="51"/>
      <c r="D29" s="51"/>
      <c r="E29" s="51"/>
      <c r="F29" s="51"/>
    </row>
    <row r="30" spans="1:6" s="38" customFormat="1" ht="15">
      <c r="A30"/>
      <c r="B30"/>
      <c r="C30" s="51"/>
      <c r="D30" s="51"/>
      <c r="E30" s="51"/>
      <c r="F30" s="51"/>
    </row>
    <row r="31" spans="1:6" s="38" customFormat="1" ht="15">
      <c r="A31"/>
      <c r="B31"/>
      <c r="C31" s="51"/>
      <c r="D31" s="51"/>
      <c r="E31" s="51"/>
      <c r="F31" s="51"/>
    </row>
    <row r="32" spans="1:6" s="38" customFormat="1" ht="15">
      <c r="A32"/>
      <c r="B32"/>
      <c r="C32" s="51"/>
      <c r="D32" s="51"/>
      <c r="E32" s="51"/>
      <c r="F32" s="51"/>
    </row>
    <row r="33" spans="1:6" s="38" customFormat="1" ht="15">
      <c r="A33"/>
      <c r="B33"/>
      <c r="C33" s="51"/>
      <c r="D33" s="51"/>
      <c r="E33" s="51"/>
      <c r="F33" s="51"/>
    </row>
    <row r="34" spans="1:6" s="38" customFormat="1" ht="15">
      <c r="A34"/>
      <c r="B34"/>
      <c r="C34" s="51"/>
      <c r="D34" s="51"/>
      <c r="E34" s="51"/>
      <c r="F34" s="51"/>
    </row>
    <row r="35" spans="1:6" s="38" customFormat="1" ht="15">
      <c r="A35"/>
      <c r="B35"/>
      <c r="C35" s="51"/>
      <c r="D35" s="51"/>
      <c r="E35" s="51"/>
      <c r="F35" s="51"/>
    </row>
    <row r="36" spans="1:6" s="38" customFormat="1" ht="15">
      <c r="A36"/>
      <c r="B36"/>
      <c r="C36" s="51"/>
      <c r="D36" s="51"/>
      <c r="E36" s="51"/>
      <c r="F36" s="51"/>
    </row>
    <row r="37" spans="1:6" s="38" customFormat="1" ht="15">
      <c r="A37"/>
      <c r="B37"/>
      <c r="C37" s="51"/>
      <c r="D37" s="51"/>
      <c r="E37" s="51"/>
      <c r="F37" s="51"/>
    </row>
    <row r="38" spans="1:6" s="38" customFormat="1" ht="15">
      <c r="A38"/>
      <c r="B38"/>
      <c r="C38" s="51"/>
      <c r="D38" s="51"/>
      <c r="E38" s="51"/>
      <c r="F38" s="51"/>
    </row>
    <row r="39" spans="1:6" s="38" customFormat="1" ht="15">
      <c r="A39"/>
      <c r="B39"/>
      <c r="C39" s="51"/>
      <c r="D39" s="51"/>
      <c r="E39" s="51"/>
      <c r="F39" s="51"/>
    </row>
    <row r="40" spans="1:6" s="38" customFormat="1" ht="15">
      <c r="A40"/>
      <c r="B40"/>
      <c r="C40" s="51"/>
      <c r="D40" s="51"/>
      <c r="E40" s="51"/>
      <c r="F40" s="51"/>
    </row>
    <row r="41" spans="1:6" s="38" customFormat="1" ht="15">
      <c r="A41"/>
      <c r="B41"/>
      <c r="C41" s="51"/>
      <c r="D41" s="51"/>
      <c r="E41" s="51"/>
      <c r="F41" s="51"/>
    </row>
    <row r="42" spans="1:6" s="38" customFormat="1" ht="15">
      <c r="A42"/>
      <c r="B42"/>
      <c r="C42" s="51"/>
      <c r="D42" s="51"/>
      <c r="E42" s="51"/>
      <c r="F42" s="51"/>
    </row>
    <row r="43" spans="1:6" s="38" customFormat="1" ht="15">
      <c r="A43"/>
      <c r="B43"/>
      <c r="C43" s="51"/>
      <c r="D43" s="51"/>
      <c r="E43" s="51"/>
      <c r="F43" s="51"/>
    </row>
    <row r="44" spans="1:6" s="38" customFormat="1" ht="15">
      <c r="A44"/>
      <c r="B44"/>
      <c r="C44" s="51"/>
      <c r="D44" s="51"/>
      <c r="E44" s="51"/>
      <c r="F44" s="51"/>
    </row>
    <row r="45" spans="1:6" s="38" customFormat="1" ht="15">
      <c r="A45"/>
      <c r="B45"/>
      <c r="C45" s="51"/>
      <c r="D45" s="51"/>
      <c r="E45" s="51"/>
      <c r="F45" s="51"/>
    </row>
    <row r="46" spans="1:6" s="38" customFormat="1" ht="15">
      <c r="A46"/>
      <c r="B46"/>
      <c r="C46" s="51"/>
      <c r="D46" s="51"/>
      <c r="E46" s="51"/>
      <c r="F46" s="51"/>
    </row>
    <row r="47" spans="1:6" s="38" customFormat="1" ht="15">
      <c r="A47"/>
      <c r="B47"/>
      <c r="C47" s="51"/>
      <c r="D47" s="51"/>
      <c r="E47" s="51"/>
      <c r="F47" s="51"/>
    </row>
    <row r="48" spans="1:6" s="38" customFormat="1" ht="15">
      <c r="A48"/>
      <c r="B48"/>
      <c r="C48" s="51"/>
      <c r="D48" s="51"/>
      <c r="E48" s="51"/>
      <c r="F48" s="51"/>
    </row>
    <row r="49" spans="1:6" s="38" customFormat="1" ht="15">
      <c r="A49"/>
      <c r="B49"/>
      <c r="C49" s="51"/>
      <c r="D49" s="51"/>
      <c r="E49" s="51"/>
      <c r="F49" s="51"/>
    </row>
    <row r="50" spans="1:6" s="38" customFormat="1" ht="15">
      <c r="A50"/>
      <c r="B50"/>
      <c r="C50" s="51"/>
      <c r="D50" s="51"/>
      <c r="E50" s="51"/>
      <c r="F50" s="51"/>
    </row>
    <row r="51" spans="1:6" s="38" customFormat="1" ht="15">
      <c r="A51"/>
      <c r="B51"/>
      <c r="C51" s="51"/>
      <c r="D51" s="51"/>
      <c r="E51" s="51"/>
      <c r="F51" s="51"/>
    </row>
    <row r="52" spans="1:6" s="38" customFormat="1" ht="15">
      <c r="A52"/>
      <c r="B52"/>
      <c r="C52" s="51"/>
      <c r="D52" s="51"/>
      <c r="E52" s="51"/>
      <c r="F52" s="51"/>
    </row>
    <row r="53" spans="1:6" s="38" customFormat="1" ht="15">
      <c r="A53"/>
      <c r="B53"/>
      <c r="C53" s="51"/>
      <c r="D53" s="51"/>
      <c r="E53" s="51"/>
      <c r="F53" s="51"/>
    </row>
    <row r="54" spans="1:6" s="38" customFormat="1" ht="15">
      <c r="A54"/>
      <c r="B54"/>
      <c r="C54" s="51"/>
      <c r="D54" s="51"/>
      <c r="E54" s="51"/>
      <c r="F54" s="51"/>
    </row>
    <row r="55" spans="1:6" s="38" customFormat="1" ht="15">
      <c r="A55"/>
      <c r="B55"/>
      <c r="C55" s="51"/>
      <c r="D55" s="51"/>
      <c r="E55" s="51"/>
      <c r="F55" s="51"/>
    </row>
    <row r="56" spans="1:6" s="38" customFormat="1" ht="15">
      <c r="A56"/>
      <c r="B56"/>
      <c r="C56" s="51"/>
      <c r="D56" s="51"/>
      <c r="E56" s="51"/>
      <c r="F56" s="51"/>
    </row>
    <row r="57" spans="1:6" s="38" customFormat="1" ht="15">
      <c r="A57"/>
      <c r="B57"/>
      <c r="C57" s="51"/>
      <c r="D57" s="51"/>
      <c r="E57" s="51"/>
      <c r="F57" s="51"/>
    </row>
    <row r="58" spans="1:6" s="38" customFormat="1" ht="15">
      <c r="A58"/>
      <c r="B58"/>
      <c r="C58" s="51"/>
      <c r="D58" s="51"/>
      <c r="E58" s="51"/>
      <c r="F58" s="51"/>
    </row>
    <row r="59" spans="1:6" s="38" customFormat="1" ht="15">
      <c r="A59"/>
      <c r="B59"/>
      <c r="C59" s="51"/>
      <c r="D59" s="51"/>
      <c r="E59" s="51"/>
      <c r="F59" s="51"/>
    </row>
    <row r="60" spans="1:6" s="38" customFormat="1" ht="15">
      <c r="A60"/>
      <c r="B60"/>
      <c r="C60" s="51"/>
      <c r="D60" s="51"/>
      <c r="E60" s="51"/>
      <c r="F60" s="51"/>
    </row>
    <row r="61" spans="1:6" s="38" customFormat="1" ht="15">
      <c r="A61"/>
      <c r="B61"/>
      <c r="C61" s="51"/>
      <c r="D61" s="51"/>
      <c r="E61" s="51"/>
      <c r="F61" s="51"/>
    </row>
    <row r="62" spans="1:6" s="38" customFormat="1" ht="15">
      <c r="A62"/>
      <c r="B62"/>
      <c r="C62" s="51"/>
      <c r="D62" s="51"/>
      <c r="E62" s="51"/>
      <c r="F62" s="51"/>
    </row>
    <row r="63" spans="1:6" s="38" customFormat="1" ht="15">
      <c r="A63"/>
      <c r="B63"/>
      <c r="C63" s="51"/>
      <c r="D63" s="51"/>
      <c r="E63" s="51"/>
      <c r="F63" s="51"/>
    </row>
    <row r="64" spans="1:6" s="38" customFormat="1" ht="15">
      <c r="A64"/>
      <c r="B64"/>
      <c r="C64" s="51"/>
      <c r="D64" s="51"/>
      <c r="E64" s="51"/>
      <c r="F64" s="51"/>
    </row>
    <row r="65" spans="1:6" s="38" customFormat="1" ht="15">
      <c r="A65"/>
      <c r="B65"/>
      <c r="C65" s="51"/>
      <c r="D65" s="51"/>
      <c r="E65" s="51"/>
      <c r="F65" s="51"/>
    </row>
    <row r="66" spans="1:6" s="38" customFormat="1" ht="15">
      <c r="A66"/>
      <c r="B66"/>
      <c r="C66" s="51"/>
      <c r="D66" s="51"/>
      <c r="E66" s="51"/>
      <c r="F66" s="51"/>
    </row>
    <row r="67" spans="1:6" s="38" customFormat="1" ht="15">
      <c r="A67"/>
      <c r="B67"/>
      <c r="C67" s="51"/>
      <c r="D67" s="51"/>
      <c r="E67" s="51"/>
      <c r="F67" s="51"/>
    </row>
    <row r="68" spans="1:6" s="38" customFormat="1" ht="15">
      <c r="A68"/>
      <c r="B68"/>
      <c r="C68" s="51"/>
      <c r="D68" s="51"/>
      <c r="E68" s="51"/>
      <c r="F68" s="51"/>
    </row>
    <row r="69" spans="1:6" s="38" customFormat="1" ht="15">
      <c r="A69"/>
      <c r="B69"/>
      <c r="C69" s="51"/>
      <c r="D69" s="51"/>
      <c r="E69" s="51"/>
      <c r="F69" s="51"/>
    </row>
    <row r="70" spans="1:6" s="38" customFormat="1" ht="15">
      <c r="A70"/>
      <c r="B70"/>
      <c r="C70" s="51"/>
      <c r="D70" s="51"/>
      <c r="E70" s="51"/>
      <c r="F70" s="51"/>
    </row>
    <row r="71" spans="1:6" s="38" customFormat="1" ht="15">
      <c r="A71"/>
      <c r="B71"/>
      <c r="C71" s="51"/>
      <c r="D71" s="51"/>
      <c r="E71" s="51"/>
      <c r="F71" s="51"/>
    </row>
    <row r="72" spans="1:6" s="38" customFormat="1" ht="15">
      <c r="A72"/>
      <c r="B72"/>
      <c r="C72" s="51"/>
      <c r="D72" s="51"/>
      <c r="E72" s="51"/>
      <c r="F72" s="51"/>
    </row>
    <row r="73" spans="1:6" s="38" customFormat="1" ht="15">
      <c r="A73"/>
      <c r="B73"/>
      <c r="C73" s="51"/>
      <c r="D73" s="51"/>
      <c r="E73" s="51"/>
      <c r="F73" s="51"/>
    </row>
    <row r="74" spans="1:6" s="38" customFormat="1" ht="15">
      <c r="A74"/>
      <c r="B74"/>
      <c r="C74" s="51"/>
      <c r="D74" s="51"/>
      <c r="E74" s="51"/>
      <c r="F74" s="51"/>
    </row>
    <row r="75" spans="1:6" s="38" customFormat="1" ht="15">
      <c r="A75"/>
      <c r="B75"/>
      <c r="C75" s="51"/>
      <c r="D75" s="51"/>
      <c r="E75" s="51"/>
      <c r="F75" s="51"/>
    </row>
    <row r="76" spans="1:6" s="38" customFormat="1" ht="15">
      <c r="A76"/>
      <c r="B76"/>
      <c r="C76" s="51"/>
      <c r="D76" s="51"/>
      <c r="E76" s="51"/>
      <c r="F76" s="51"/>
    </row>
    <row r="77" spans="1:6" s="38" customFormat="1" ht="15">
      <c r="A77"/>
      <c r="B77"/>
      <c r="C77" s="51"/>
      <c r="D77" s="51"/>
      <c r="E77" s="51"/>
      <c r="F77" s="51"/>
    </row>
    <row r="78" spans="1:6" s="38" customFormat="1" ht="15">
      <c r="A78"/>
      <c r="B78"/>
      <c r="C78" s="51"/>
      <c r="D78" s="51"/>
      <c r="E78" s="51"/>
      <c r="F78" s="51"/>
    </row>
    <row r="79" spans="1:6" s="38" customFormat="1" ht="15">
      <c r="A79"/>
      <c r="B79"/>
      <c r="C79" s="51"/>
      <c r="D79" s="51"/>
      <c r="E79" s="51"/>
      <c r="F79" s="51"/>
    </row>
    <row r="80" spans="1:6" s="38" customFormat="1" ht="15">
      <c r="A80"/>
      <c r="B80"/>
      <c r="C80" s="51"/>
      <c r="D80" s="51"/>
      <c r="E80" s="51"/>
      <c r="F80" s="51"/>
    </row>
    <row r="81" spans="1:6" s="38" customFormat="1" ht="15">
      <c r="A81"/>
      <c r="B81"/>
      <c r="C81" s="51"/>
      <c r="D81" s="51"/>
      <c r="E81" s="51"/>
      <c r="F81" s="51"/>
    </row>
    <row r="82" spans="1:6" s="38" customFormat="1" ht="15">
      <c r="A82"/>
      <c r="B82"/>
      <c r="C82" s="51"/>
      <c r="D82" s="51"/>
      <c r="E82" s="51"/>
      <c r="F82" s="51"/>
    </row>
    <row r="83" spans="1:6" s="38" customFormat="1" ht="15">
      <c r="A83"/>
      <c r="B83"/>
      <c r="C83" s="51"/>
      <c r="D83" s="51"/>
      <c r="E83" s="51"/>
      <c r="F83" s="51"/>
    </row>
    <row r="84" spans="1:6" s="38" customFormat="1" ht="15">
      <c r="A84"/>
      <c r="B84"/>
      <c r="C84" s="51"/>
      <c r="D84" s="51"/>
      <c r="E84" s="51"/>
      <c r="F84" s="51"/>
    </row>
    <row r="85" spans="1:6" s="38" customFormat="1" ht="15">
      <c r="A85"/>
      <c r="B85"/>
      <c r="C85" s="51"/>
      <c r="D85" s="51"/>
      <c r="E85" s="51"/>
      <c r="F85" s="51"/>
    </row>
    <row r="86" spans="1:6" s="38" customFormat="1" ht="15">
      <c r="A86"/>
      <c r="B86"/>
      <c r="C86" s="51"/>
      <c r="D86" s="51"/>
      <c r="E86" s="51"/>
      <c r="F86" s="51"/>
    </row>
    <row r="87" spans="1:6" s="38" customFormat="1" ht="15">
      <c r="A87"/>
      <c r="B87"/>
      <c r="C87" s="51"/>
      <c r="D87" s="51"/>
      <c r="E87" s="51"/>
      <c r="F87" s="51"/>
    </row>
    <row r="88" spans="1:6" s="38" customFormat="1" ht="15">
      <c r="A88"/>
      <c r="B88"/>
      <c r="C88" s="51"/>
      <c r="D88" s="51"/>
      <c r="E88" s="51"/>
      <c r="F88" s="51"/>
    </row>
    <row r="89" spans="1:6" s="38" customFormat="1" ht="15">
      <c r="A89"/>
      <c r="B89"/>
      <c r="C89" s="51"/>
      <c r="D89" s="51"/>
      <c r="E89" s="51"/>
      <c r="F89" s="51"/>
    </row>
    <row r="90" spans="1:6" s="38" customFormat="1" ht="15">
      <c r="A90"/>
      <c r="B90"/>
      <c r="C90" s="51"/>
      <c r="D90" s="51"/>
      <c r="E90" s="51"/>
      <c r="F90" s="51"/>
    </row>
    <row r="91" spans="1:6" s="38" customFormat="1" ht="15">
      <c r="A91"/>
      <c r="B91"/>
      <c r="C91" s="51"/>
      <c r="D91" s="51"/>
      <c r="E91" s="51"/>
      <c r="F91" s="51"/>
    </row>
    <row r="92" spans="1:6" s="38" customFormat="1" ht="15">
      <c r="A92"/>
      <c r="B92"/>
      <c r="C92" s="51"/>
      <c r="D92" s="51"/>
      <c r="E92" s="51"/>
      <c r="F92" s="51"/>
    </row>
    <row r="93" spans="1:6" s="38" customFormat="1" ht="15">
      <c r="A93"/>
      <c r="B93"/>
      <c r="C93" s="51"/>
      <c r="D93" s="51"/>
      <c r="E93" s="51"/>
      <c r="F93" s="51"/>
    </row>
    <row r="94" spans="1:6" s="38" customFormat="1" ht="15">
      <c r="A94"/>
      <c r="B94"/>
      <c r="C94" s="51"/>
      <c r="D94" s="51"/>
      <c r="E94" s="51"/>
      <c r="F94" s="51"/>
    </row>
    <row r="95" spans="1:6" s="38" customFormat="1" ht="15">
      <c r="A95"/>
      <c r="B95"/>
      <c r="C95" s="51"/>
      <c r="D95" s="51"/>
      <c r="E95" s="51"/>
      <c r="F95" s="51"/>
    </row>
    <row r="96" spans="1:6" s="38" customFormat="1" ht="15">
      <c r="A96"/>
      <c r="B96"/>
      <c r="C96" s="51"/>
      <c r="D96" s="51"/>
      <c r="E96" s="51"/>
      <c r="F96" s="51"/>
    </row>
    <row r="97" spans="1:6" s="38" customFormat="1" ht="15">
      <c r="A97"/>
      <c r="B97"/>
      <c r="C97" s="51"/>
      <c r="D97" s="51"/>
      <c r="E97" s="51"/>
      <c r="F97" s="51"/>
    </row>
    <row r="98" spans="1:6" s="38" customFormat="1" ht="15">
      <c r="A98"/>
      <c r="B98"/>
      <c r="C98" s="51"/>
      <c r="D98" s="51"/>
      <c r="E98" s="51"/>
      <c r="F98" s="51"/>
    </row>
    <row r="99" spans="1:6" s="38" customFormat="1" ht="15">
      <c r="A99"/>
      <c r="B99"/>
      <c r="C99" s="51"/>
      <c r="D99" s="51"/>
      <c r="E99" s="51"/>
      <c r="F99" s="51"/>
    </row>
    <row r="100" spans="1:6" s="38" customFormat="1" ht="15">
      <c r="A100"/>
      <c r="B100"/>
      <c r="C100" s="51"/>
      <c r="D100" s="51"/>
      <c r="E100" s="51"/>
      <c r="F100" s="51"/>
    </row>
    <row r="101" spans="1:6" s="38" customFormat="1" ht="15">
      <c r="A101"/>
      <c r="B101"/>
      <c r="C101" s="51"/>
      <c r="D101" s="51"/>
      <c r="E101" s="51"/>
      <c r="F101" s="51"/>
    </row>
    <row r="102" spans="1:6" s="38" customFormat="1" ht="15">
      <c r="A102"/>
      <c r="B102"/>
      <c r="C102" s="51"/>
      <c r="D102" s="51"/>
      <c r="E102" s="51"/>
      <c r="F102" s="51"/>
    </row>
    <row r="103" spans="1:6" s="38" customFormat="1" ht="15">
      <c r="A103"/>
      <c r="B103"/>
      <c r="C103" s="51"/>
      <c r="D103" s="51"/>
      <c r="E103" s="51"/>
      <c r="F103" s="51"/>
    </row>
    <row r="104" spans="1:6" s="38" customFormat="1" ht="15">
      <c r="A104"/>
      <c r="B104"/>
      <c r="C104" s="51"/>
      <c r="D104" s="51"/>
      <c r="E104" s="51"/>
      <c r="F104" s="51"/>
    </row>
    <row r="105" spans="1:6" s="38" customFormat="1" ht="15">
      <c r="A105"/>
      <c r="B105"/>
      <c r="C105" s="51"/>
      <c r="D105" s="51"/>
      <c r="E105" s="51"/>
      <c r="F105" s="51"/>
    </row>
    <row r="106" spans="1:6" s="38" customFormat="1" ht="15">
      <c r="A106"/>
      <c r="B106"/>
      <c r="C106" s="51"/>
      <c r="D106" s="51"/>
      <c r="E106" s="51"/>
      <c r="F106" s="51"/>
    </row>
    <row r="107" spans="1:6" s="38" customFormat="1" ht="15">
      <c r="A107"/>
      <c r="B107"/>
      <c r="C107" s="51"/>
      <c r="D107" s="51"/>
      <c r="E107" s="51"/>
      <c r="F107" s="51"/>
    </row>
    <row r="108" spans="1:6" s="38" customFormat="1" ht="15">
      <c r="A108"/>
      <c r="B108"/>
      <c r="C108" s="51"/>
      <c r="D108" s="51"/>
      <c r="E108" s="51"/>
      <c r="F108" s="51"/>
    </row>
    <row r="109" spans="1:6" s="38" customFormat="1" ht="15">
      <c r="A109"/>
      <c r="B109"/>
      <c r="C109" s="51"/>
      <c r="D109" s="51"/>
      <c r="E109" s="51"/>
      <c r="F109" s="51"/>
    </row>
    <row r="110" spans="1:6" s="38" customFormat="1" ht="15">
      <c r="A110"/>
      <c r="B110"/>
      <c r="C110" s="51"/>
      <c r="D110" s="51"/>
      <c r="E110" s="51"/>
      <c r="F110" s="51"/>
    </row>
    <row r="111" spans="1:6" s="38" customFormat="1" ht="15">
      <c r="A111"/>
      <c r="B111"/>
      <c r="C111" s="51"/>
      <c r="D111" s="51"/>
      <c r="E111" s="51"/>
      <c r="F111" s="51"/>
    </row>
    <row r="112" spans="1:6" s="38" customFormat="1" ht="15">
      <c r="A112"/>
      <c r="B112"/>
      <c r="C112" s="51"/>
      <c r="D112" s="51"/>
      <c r="E112" s="51"/>
      <c r="F112" s="51"/>
    </row>
    <row r="113" spans="1:6" s="38" customFormat="1" ht="15">
      <c r="A113"/>
      <c r="B113"/>
      <c r="C113" s="51"/>
      <c r="D113" s="51"/>
      <c r="E113" s="51"/>
      <c r="F113" s="51"/>
    </row>
    <row r="114" spans="1:6" s="38" customFormat="1" ht="15">
      <c r="A114"/>
      <c r="B114"/>
      <c r="C114" s="51"/>
      <c r="D114" s="51"/>
      <c r="E114" s="51"/>
      <c r="F114" s="51"/>
    </row>
    <row r="115" spans="1:6" s="38" customFormat="1" ht="15">
      <c r="A115"/>
      <c r="B115"/>
      <c r="C115" s="51"/>
      <c r="D115" s="51"/>
      <c r="E115" s="51"/>
      <c r="F115" s="51"/>
    </row>
    <row r="116" spans="1:6" s="38" customFormat="1" ht="15">
      <c r="A116"/>
      <c r="B116"/>
      <c r="C116" s="51"/>
      <c r="D116" s="51"/>
      <c r="E116" s="51"/>
      <c r="F116" s="51"/>
    </row>
    <row r="117" spans="1:6" s="38" customFormat="1" ht="15">
      <c r="A117"/>
      <c r="B117"/>
      <c r="C117" s="51"/>
      <c r="D117" s="51"/>
      <c r="E117" s="51"/>
      <c r="F117" s="51"/>
    </row>
    <row r="118" spans="1:6" s="38" customFormat="1" ht="15">
      <c r="A118"/>
      <c r="B118"/>
      <c r="C118" s="51"/>
      <c r="D118" s="51"/>
      <c r="E118" s="51"/>
      <c r="F118" s="51"/>
    </row>
    <row r="119" spans="1:6" s="38" customFormat="1" ht="15">
      <c r="A119"/>
      <c r="B119"/>
      <c r="C119" s="51"/>
      <c r="D119" s="51"/>
      <c r="E119" s="51"/>
      <c r="F119" s="51"/>
    </row>
    <row r="120" spans="1:6" s="38" customFormat="1" ht="15">
      <c r="A120"/>
      <c r="B120"/>
      <c r="C120" s="51"/>
      <c r="D120" s="51"/>
      <c r="E120" s="51"/>
      <c r="F120" s="51"/>
    </row>
    <row r="121" spans="1:6" s="38" customFormat="1" ht="15">
      <c r="A121"/>
      <c r="B121"/>
      <c r="C121" s="51"/>
      <c r="D121" s="51"/>
      <c r="E121" s="51"/>
      <c r="F121" s="51"/>
    </row>
    <row r="122" spans="1:6" s="38" customFormat="1" ht="15">
      <c r="A122"/>
      <c r="B122"/>
      <c r="C122" s="51"/>
      <c r="D122" s="51"/>
      <c r="E122" s="51"/>
      <c r="F122" s="51"/>
    </row>
    <row r="123" spans="1:6" s="38" customFormat="1" ht="15">
      <c r="A123"/>
      <c r="B123"/>
      <c r="C123" s="51"/>
      <c r="D123" s="51"/>
      <c r="E123" s="51"/>
      <c r="F123" s="51"/>
    </row>
    <row r="124" spans="1:6" s="38" customFormat="1" ht="15">
      <c r="A124"/>
      <c r="B124"/>
      <c r="C124" s="51"/>
      <c r="D124" s="51"/>
      <c r="E124" s="51"/>
      <c r="F124" s="51"/>
    </row>
    <row r="125" spans="1:6" s="38" customFormat="1" ht="15">
      <c r="A125"/>
      <c r="B125"/>
      <c r="C125" s="51"/>
      <c r="D125" s="51"/>
      <c r="E125" s="51"/>
      <c r="F125" s="51"/>
    </row>
    <row r="126" spans="1:6" s="38" customFormat="1" ht="15">
      <c r="A126"/>
      <c r="B126"/>
      <c r="C126" s="51"/>
      <c r="D126" s="51"/>
      <c r="E126" s="51"/>
      <c r="F126" s="51"/>
    </row>
    <row r="127" spans="1:6" s="38" customFormat="1" ht="15">
      <c r="A127"/>
      <c r="B127"/>
      <c r="C127" s="51"/>
      <c r="D127" s="51"/>
      <c r="E127" s="51"/>
      <c r="F127" s="51"/>
    </row>
    <row r="128" spans="1:6" s="38" customFormat="1" ht="15">
      <c r="A128"/>
      <c r="B128"/>
      <c r="C128" s="51"/>
      <c r="D128" s="51"/>
      <c r="E128" s="51"/>
      <c r="F128" s="51"/>
    </row>
    <row r="129" spans="1:6" s="38" customFormat="1" ht="15">
      <c r="A129"/>
      <c r="B129"/>
      <c r="C129" s="51"/>
      <c r="D129" s="51"/>
      <c r="E129" s="51"/>
      <c r="F129" s="51"/>
    </row>
    <row r="130" spans="1:6" s="38" customFormat="1" ht="15">
      <c r="A130"/>
      <c r="B130"/>
      <c r="C130" s="51"/>
      <c r="D130" s="51"/>
      <c r="E130" s="51"/>
      <c r="F130" s="51"/>
    </row>
    <row r="131" spans="1:6" s="38" customFormat="1" ht="15">
      <c r="A131"/>
      <c r="B131"/>
      <c r="C131" s="51"/>
      <c r="D131" s="51"/>
      <c r="E131" s="51"/>
      <c r="F131" s="51"/>
    </row>
    <row r="132" spans="1:6" s="38" customFormat="1" ht="15">
      <c r="A132"/>
      <c r="B132"/>
      <c r="C132" s="51"/>
      <c r="D132" s="51"/>
      <c r="E132" s="51"/>
      <c r="F132" s="51"/>
    </row>
    <row r="133" spans="1:6" s="38" customFormat="1" ht="15">
      <c r="A133"/>
      <c r="B133"/>
      <c r="C133" s="51"/>
      <c r="D133" s="51"/>
      <c r="E133" s="51"/>
      <c r="F133" s="51"/>
    </row>
    <row r="134" spans="1:6" s="38" customFormat="1" ht="15">
      <c r="A134"/>
      <c r="B134"/>
      <c r="C134" s="51"/>
      <c r="D134" s="51"/>
      <c r="E134" s="51"/>
      <c r="F134" s="51"/>
    </row>
    <row r="135" spans="1:6" s="38" customFormat="1" ht="15">
      <c r="A135"/>
      <c r="B135"/>
      <c r="C135" s="51"/>
      <c r="D135" s="51"/>
      <c r="E135" s="51"/>
      <c r="F135" s="51"/>
    </row>
    <row r="136" spans="1:6" s="38" customFormat="1" ht="15">
      <c r="A136"/>
      <c r="B136"/>
      <c r="C136" s="51"/>
      <c r="D136" s="51"/>
      <c r="E136" s="51"/>
      <c r="F136" s="51"/>
    </row>
    <row r="137" spans="1:6" s="38" customFormat="1" ht="15">
      <c r="A137"/>
      <c r="B137"/>
      <c r="C137" s="51"/>
      <c r="D137" s="51"/>
      <c r="E137" s="51"/>
      <c r="F137" s="51"/>
    </row>
    <row r="138" spans="1:6" s="38" customFormat="1" ht="15">
      <c r="A138"/>
      <c r="B138"/>
      <c r="C138" s="51"/>
      <c r="D138" s="51"/>
      <c r="E138" s="51"/>
      <c r="F138" s="51"/>
    </row>
    <row r="139" spans="1:6" s="38" customFormat="1" ht="15">
      <c r="A139"/>
      <c r="B139"/>
      <c r="C139" s="51"/>
      <c r="D139" s="51"/>
      <c r="E139" s="51"/>
      <c r="F139" s="51"/>
    </row>
    <row r="140" spans="1:6" s="38" customFormat="1" ht="15">
      <c r="A140"/>
      <c r="B140"/>
      <c r="C140" s="51"/>
      <c r="D140" s="51"/>
      <c r="E140" s="51"/>
      <c r="F140" s="51"/>
    </row>
    <row r="141" spans="1:6" s="38" customFormat="1" ht="15">
      <c r="A141"/>
      <c r="B141"/>
      <c r="C141" s="51"/>
      <c r="D141" s="51"/>
      <c r="E141" s="51"/>
      <c r="F141" s="51"/>
    </row>
    <row r="142" spans="1:6" s="38" customFormat="1" ht="15">
      <c r="A142"/>
      <c r="B142"/>
      <c r="C142" s="51"/>
      <c r="D142" s="51"/>
      <c r="E142" s="51"/>
      <c r="F142" s="51"/>
    </row>
    <row r="143" spans="1:6" s="38" customFormat="1" ht="15">
      <c r="A143"/>
      <c r="B143"/>
      <c r="C143" s="51"/>
      <c r="D143" s="51"/>
      <c r="E143" s="51"/>
      <c r="F143" s="51"/>
    </row>
    <row r="144" spans="1:6" s="38" customFormat="1" ht="15">
      <c r="A144"/>
      <c r="B144"/>
      <c r="C144" s="51"/>
      <c r="D144" s="51"/>
      <c r="E144" s="51"/>
      <c r="F144" s="51"/>
    </row>
    <row r="145" spans="1:6" s="38" customFormat="1" ht="15">
      <c r="A145"/>
      <c r="B145"/>
      <c r="C145" s="51"/>
      <c r="D145" s="51"/>
      <c r="E145" s="51"/>
      <c r="F145" s="51"/>
    </row>
    <row r="146" spans="1:6" s="38" customFormat="1" ht="15">
      <c r="A146"/>
      <c r="B146"/>
      <c r="C146" s="51"/>
      <c r="D146" s="51"/>
      <c r="E146" s="51"/>
      <c r="F146" s="51"/>
    </row>
    <row r="147" spans="1:6" s="38" customFormat="1" ht="15">
      <c r="A147"/>
      <c r="B147"/>
      <c r="C147" s="51"/>
      <c r="D147" s="51"/>
      <c r="E147" s="51"/>
      <c r="F147" s="51"/>
    </row>
    <row r="148" spans="1:6" s="38" customFormat="1" ht="15">
      <c r="A148"/>
      <c r="B148"/>
      <c r="C148" s="51"/>
      <c r="D148" s="51"/>
      <c r="E148" s="51"/>
      <c r="F148" s="51"/>
    </row>
    <row r="149" spans="1:6" s="38" customFormat="1" ht="15">
      <c r="A149"/>
      <c r="B149"/>
      <c r="C149" s="51"/>
      <c r="D149" s="51"/>
      <c r="E149" s="51"/>
      <c r="F149" s="51"/>
    </row>
    <row r="150" spans="1:6" s="38" customFormat="1" ht="15">
      <c r="A150"/>
      <c r="B150"/>
      <c r="C150" s="51"/>
      <c r="D150" s="51"/>
      <c r="E150" s="51"/>
      <c r="F150" s="51"/>
    </row>
    <row r="151" spans="1:6" s="38" customFormat="1" ht="15">
      <c r="A151"/>
      <c r="B151"/>
      <c r="C151" s="51"/>
      <c r="D151" s="51"/>
      <c r="E151" s="51"/>
      <c r="F151" s="51"/>
    </row>
    <row r="152" spans="1:6" s="38" customFormat="1" ht="15">
      <c r="A152"/>
      <c r="B152"/>
      <c r="C152" s="51"/>
      <c r="D152" s="51"/>
      <c r="E152" s="51"/>
      <c r="F152" s="51"/>
    </row>
    <row r="153" spans="1:6" s="38" customFormat="1" ht="15">
      <c r="A153"/>
      <c r="B153"/>
      <c r="C153" s="51"/>
      <c r="D153" s="51"/>
      <c r="E153" s="51"/>
      <c r="F153" s="51"/>
    </row>
    <row r="154" spans="1:6" s="38" customFormat="1" ht="15">
      <c r="A154"/>
      <c r="B154"/>
      <c r="C154" s="51"/>
      <c r="D154" s="51"/>
      <c r="E154" s="51"/>
      <c r="F154" s="51"/>
    </row>
    <row r="155" spans="1:6" s="38" customFormat="1" ht="15">
      <c r="A155"/>
      <c r="B155"/>
      <c r="C155" s="51"/>
      <c r="D155" s="51"/>
      <c r="E155" s="51"/>
      <c r="F155" s="51"/>
    </row>
    <row r="156" spans="1:6" s="38" customFormat="1" ht="15">
      <c r="A156"/>
      <c r="B156"/>
      <c r="C156" s="51"/>
      <c r="D156" s="51"/>
      <c r="E156" s="51"/>
      <c r="F156" s="51"/>
    </row>
    <row r="157" spans="1:6" s="38" customFormat="1" ht="15">
      <c r="A157"/>
      <c r="B157"/>
      <c r="C157" s="51"/>
      <c r="D157" s="51"/>
      <c r="E157" s="51"/>
      <c r="F157" s="51"/>
    </row>
    <row r="158" spans="1:6" s="38" customFormat="1" ht="15">
      <c r="A158"/>
      <c r="B158"/>
      <c r="C158" s="51"/>
      <c r="D158" s="51"/>
      <c r="E158" s="51"/>
      <c r="F158" s="51"/>
    </row>
    <row r="159" spans="1:6" s="38" customFormat="1" ht="15">
      <c r="A159"/>
      <c r="B159"/>
      <c r="C159" s="51"/>
      <c r="D159" s="51"/>
      <c r="E159" s="51"/>
      <c r="F159" s="51"/>
    </row>
    <row r="160" spans="1:6" s="38" customFormat="1" ht="15">
      <c r="A160"/>
      <c r="B160"/>
      <c r="C160" s="51"/>
      <c r="D160" s="51"/>
      <c r="E160" s="51"/>
      <c r="F160" s="51"/>
    </row>
    <row r="161" spans="1:6" s="38" customFormat="1" ht="15">
      <c r="A161"/>
      <c r="B161"/>
      <c r="C161" s="51"/>
      <c r="D161" s="51"/>
      <c r="E161" s="51"/>
      <c r="F161" s="51"/>
    </row>
    <row r="162" spans="1:6" s="38" customFormat="1" ht="15">
      <c r="A162"/>
      <c r="B162"/>
      <c r="C162" s="51"/>
      <c r="D162" s="51"/>
      <c r="E162" s="51"/>
      <c r="F162" s="51"/>
    </row>
    <row r="163" spans="1:6" s="38" customFormat="1" ht="15">
      <c r="A163"/>
      <c r="B163"/>
      <c r="C163" s="51"/>
      <c r="D163" s="51"/>
      <c r="E163" s="51"/>
      <c r="F163" s="51"/>
    </row>
    <row r="164" spans="1:6" s="38" customFormat="1" ht="15">
      <c r="A164"/>
      <c r="B164"/>
      <c r="C164" s="51"/>
      <c r="D164" s="51"/>
      <c r="E164" s="51"/>
      <c r="F164" s="51"/>
    </row>
    <row r="165" spans="1:6" s="38" customFormat="1" ht="15">
      <c r="A165"/>
      <c r="B165"/>
      <c r="C165" s="51"/>
      <c r="D165" s="51"/>
      <c r="E165" s="51"/>
      <c r="F165" s="51"/>
    </row>
    <row r="166" spans="1:6" s="38" customFormat="1" ht="15">
      <c r="A166"/>
      <c r="B166"/>
      <c r="C166" s="51"/>
      <c r="D166" s="51"/>
      <c r="E166" s="51"/>
      <c r="F166" s="51"/>
    </row>
    <row r="167" spans="1:6" s="38" customFormat="1" ht="15">
      <c r="A167"/>
      <c r="B167"/>
      <c r="C167" s="51"/>
      <c r="D167" s="51"/>
      <c r="E167" s="51"/>
      <c r="F167" s="51"/>
    </row>
    <row r="168" spans="1:6" s="38" customFormat="1" ht="15">
      <c r="A168"/>
      <c r="B168"/>
      <c r="C168" s="51"/>
      <c r="D168" s="51"/>
      <c r="E168" s="51"/>
      <c r="F168" s="51"/>
    </row>
    <row r="169" spans="1:6" s="38" customFormat="1" ht="15">
      <c r="A169"/>
      <c r="B169"/>
      <c r="C169" s="51"/>
      <c r="D169" s="51"/>
      <c r="E169" s="51"/>
      <c r="F169" s="51"/>
    </row>
    <row r="170" spans="1:6" s="38" customFormat="1" ht="15">
      <c r="A170"/>
      <c r="B170"/>
      <c r="C170" s="51"/>
      <c r="D170" s="51"/>
      <c r="E170" s="51"/>
      <c r="F170" s="51"/>
    </row>
    <row r="171" spans="1:6" s="38" customFormat="1" ht="15">
      <c r="A171"/>
      <c r="B171"/>
      <c r="C171" s="51"/>
      <c r="D171" s="51"/>
      <c r="E171" s="51"/>
      <c r="F171" s="51"/>
    </row>
    <row r="172" spans="1:6" s="38" customFormat="1" ht="15">
      <c r="A172"/>
      <c r="B172"/>
      <c r="C172" s="51"/>
      <c r="D172" s="51"/>
      <c r="E172" s="51"/>
      <c r="F172" s="51"/>
    </row>
    <row r="173" spans="1:6" s="38" customFormat="1" ht="15">
      <c r="A173"/>
      <c r="B173"/>
      <c r="C173" s="51"/>
      <c r="D173" s="51"/>
      <c r="E173" s="51"/>
      <c r="F173" s="51"/>
    </row>
    <row r="174" spans="1:6" s="38" customFormat="1" ht="15">
      <c r="A174"/>
      <c r="B174"/>
      <c r="C174" s="51"/>
      <c r="D174" s="51"/>
      <c r="E174" s="51"/>
      <c r="F174" s="51"/>
    </row>
    <row r="175" spans="1:6" s="38" customFormat="1" ht="15">
      <c r="A175"/>
      <c r="B175"/>
      <c r="C175" s="51"/>
      <c r="D175" s="51"/>
      <c r="E175" s="51"/>
      <c r="F175" s="51"/>
    </row>
    <row r="176" spans="1:6" s="38" customFormat="1" ht="15">
      <c r="A176"/>
      <c r="B176"/>
      <c r="C176" s="51"/>
      <c r="D176" s="51"/>
      <c r="E176" s="51"/>
      <c r="F176" s="51"/>
    </row>
    <row r="177" spans="1:6" s="38" customFormat="1" ht="15">
      <c r="A177"/>
      <c r="B177"/>
      <c r="C177" s="51"/>
      <c r="D177" s="51"/>
      <c r="E177" s="51"/>
      <c r="F177" s="51"/>
    </row>
    <row r="178" spans="1:6" s="38" customFormat="1" ht="15">
      <c r="A178"/>
      <c r="B178"/>
      <c r="C178" s="51"/>
      <c r="D178" s="51"/>
      <c r="E178" s="51"/>
      <c r="F178" s="51"/>
    </row>
    <row r="179" spans="1:6" s="38" customFormat="1" ht="15">
      <c r="A179"/>
      <c r="B179"/>
      <c r="C179" s="51"/>
      <c r="D179" s="51"/>
      <c r="E179" s="51"/>
      <c r="F179" s="51"/>
    </row>
    <row r="180" spans="1:6" s="38" customFormat="1" ht="15">
      <c r="A180"/>
      <c r="B180"/>
      <c r="C180" s="51"/>
      <c r="D180" s="51"/>
      <c r="E180" s="51"/>
      <c r="F180" s="51"/>
    </row>
    <row r="181" spans="1:6" s="38" customFormat="1" ht="15">
      <c r="A181"/>
      <c r="B181"/>
      <c r="C181" s="51"/>
      <c r="D181" s="51"/>
      <c r="E181" s="51"/>
      <c r="F181" s="51"/>
    </row>
    <row r="182" spans="1:6" s="38" customFormat="1" ht="15">
      <c r="A182"/>
      <c r="B182"/>
      <c r="C182" s="51"/>
      <c r="D182" s="51"/>
      <c r="E182" s="51"/>
      <c r="F182" s="51"/>
    </row>
    <row r="183" spans="1:6" s="38" customFormat="1" ht="15">
      <c r="A183"/>
      <c r="B183"/>
      <c r="C183" s="51"/>
      <c r="D183" s="51"/>
      <c r="E183" s="51"/>
      <c r="F183" s="51"/>
    </row>
    <row r="184" spans="1:6" s="38" customFormat="1" ht="15">
      <c r="A184"/>
      <c r="B184"/>
      <c r="C184" s="51"/>
      <c r="D184" s="51"/>
      <c r="E184" s="51"/>
      <c r="F184" s="51"/>
    </row>
    <row r="185" spans="1:6" s="38" customFormat="1" ht="15">
      <c r="A185"/>
      <c r="B185"/>
      <c r="C185" s="51"/>
      <c r="D185" s="51"/>
      <c r="E185" s="51"/>
      <c r="F185" s="51"/>
    </row>
    <row r="186" spans="1:6" s="38" customFormat="1" ht="15">
      <c r="A186"/>
      <c r="B186"/>
      <c r="C186" s="51"/>
      <c r="D186" s="51"/>
      <c r="E186" s="51"/>
      <c r="F186" s="51"/>
    </row>
    <row r="187" spans="1:6" s="38" customFormat="1" ht="15">
      <c r="A187"/>
      <c r="B187"/>
      <c r="C187" s="51"/>
      <c r="D187" s="51"/>
      <c r="E187" s="51"/>
      <c r="F187" s="51"/>
    </row>
    <row r="188" spans="1:6" s="38" customFormat="1" ht="15">
      <c r="A188"/>
      <c r="B188"/>
      <c r="C188" s="51"/>
      <c r="D188" s="51"/>
      <c r="E188" s="51"/>
      <c r="F188" s="51"/>
    </row>
    <row r="189" spans="1:6" s="38" customFormat="1" ht="15">
      <c r="A189"/>
      <c r="B189"/>
      <c r="C189" s="51"/>
      <c r="D189" s="51"/>
      <c r="E189" s="51"/>
      <c r="F189" s="51"/>
    </row>
    <row r="190" spans="1:6" s="38" customFormat="1" ht="15">
      <c r="A190"/>
      <c r="B190"/>
      <c r="C190" s="51"/>
      <c r="D190" s="51"/>
      <c r="E190" s="51"/>
      <c r="F190" s="51"/>
    </row>
    <row r="191" spans="1:6" s="38" customFormat="1" ht="15">
      <c r="A191"/>
      <c r="B191"/>
      <c r="C191" s="51"/>
      <c r="D191" s="51"/>
      <c r="E191" s="51"/>
      <c r="F191" s="51"/>
    </row>
    <row r="192" spans="1:6" s="38" customFormat="1" ht="15">
      <c r="A192"/>
      <c r="B192"/>
      <c r="C192" s="51"/>
      <c r="D192" s="51"/>
      <c r="E192" s="51"/>
      <c r="F192" s="51"/>
    </row>
    <row r="193" spans="1:6" s="38" customFormat="1" ht="15">
      <c r="A193"/>
      <c r="B193"/>
      <c r="C193" s="51"/>
      <c r="D193" s="51"/>
      <c r="E193" s="51"/>
      <c r="F193" s="51"/>
    </row>
    <row r="194" spans="1:6" s="38" customFormat="1" ht="15">
      <c r="A194"/>
      <c r="B194"/>
      <c r="C194" s="51"/>
      <c r="D194" s="51"/>
      <c r="E194" s="51"/>
      <c r="F194" s="51"/>
    </row>
    <row r="195" spans="1:6" s="38" customFormat="1" ht="15">
      <c r="A195"/>
      <c r="B195"/>
      <c r="C195" s="51"/>
      <c r="D195" s="51"/>
      <c r="E195" s="51"/>
      <c r="F195" s="51"/>
    </row>
    <row r="196" spans="1:6" s="38" customFormat="1" ht="15">
      <c r="A196"/>
      <c r="B196"/>
      <c r="C196" s="51"/>
      <c r="D196" s="51"/>
      <c r="E196" s="51"/>
      <c r="F196" s="51"/>
    </row>
    <row r="197" spans="1:6" s="38" customFormat="1" ht="15">
      <c r="A197"/>
      <c r="B197"/>
      <c r="C197" s="51"/>
      <c r="D197" s="51"/>
      <c r="E197" s="51"/>
      <c r="F197" s="51"/>
    </row>
    <row r="198" spans="1:6" s="38" customFormat="1" ht="15">
      <c r="A198"/>
      <c r="B198"/>
      <c r="C198" s="51"/>
      <c r="D198" s="51"/>
      <c r="E198" s="51"/>
      <c r="F198" s="51"/>
    </row>
    <row r="199" spans="1:6" s="38" customFormat="1" ht="15">
      <c r="A199"/>
      <c r="B199"/>
      <c r="C199" s="51"/>
      <c r="D199" s="51"/>
      <c r="E199" s="51"/>
      <c r="F199" s="51"/>
    </row>
    <row r="200" spans="1:6" s="38" customFormat="1" ht="15">
      <c r="A200"/>
      <c r="B200"/>
      <c r="C200" s="51"/>
      <c r="D200" s="51"/>
      <c r="E200" s="51"/>
      <c r="F200" s="51"/>
    </row>
    <row r="201" spans="1:6" s="38" customFormat="1" ht="15">
      <c r="A201"/>
      <c r="B201"/>
      <c r="C201" s="51"/>
      <c r="D201" s="51"/>
      <c r="E201" s="51"/>
      <c r="F201" s="51"/>
    </row>
    <row r="202" spans="1:6" s="38" customFormat="1" ht="15">
      <c r="A202"/>
      <c r="B202"/>
      <c r="C202" s="51"/>
      <c r="D202" s="51"/>
      <c r="E202" s="51"/>
      <c r="F202" s="51"/>
    </row>
    <row r="203" spans="1:6" s="38" customFormat="1" ht="15">
      <c r="A203"/>
      <c r="B203"/>
      <c r="C203" s="51"/>
      <c r="D203" s="51"/>
      <c r="E203" s="51"/>
      <c r="F203" s="51"/>
    </row>
    <row r="204" spans="1:6" s="38" customFormat="1" ht="15">
      <c r="A204"/>
      <c r="B204"/>
      <c r="C204" s="51"/>
      <c r="D204" s="51"/>
      <c r="E204" s="51"/>
      <c r="F204" s="51"/>
    </row>
    <row r="205" spans="1:6" s="38" customFormat="1" ht="15">
      <c r="A205"/>
      <c r="B205"/>
      <c r="C205" s="51"/>
      <c r="D205" s="51"/>
      <c r="E205" s="51"/>
      <c r="F205" s="51"/>
    </row>
    <row r="206" spans="1:6" s="38" customFormat="1" ht="15">
      <c r="A206"/>
      <c r="B206"/>
      <c r="C206" s="51"/>
      <c r="D206" s="51"/>
      <c r="E206" s="51"/>
      <c r="F206" s="51"/>
    </row>
    <row r="207" spans="1:6" s="38" customFormat="1" ht="15">
      <c r="A207"/>
      <c r="B207"/>
      <c r="C207" s="51"/>
      <c r="D207" s="51"/>
      <c r="E207" s="51"/>
      <c r="F207" s="51"/>
    </row>
    <row r="208" spans="1:6" s="38" customFormat="1" ht="15">
      <c r="A208"/>
      <c r="B208"/>
      <c r="C208" s="51"/>
      <c r="D208" s="51"/>
      <c r="E208" s="51"/>
      <c r="F208" s="51"/>
    </row>
    <row r="209" spans="1:6" s="38" customFormat="1" ht="15">
      <c r="A209"/>
      <c r="B209"/>
      <c r="C209" s="51"/>
      <c r="D209" s="51"/>
      <c r="E209" s="51"/>
      <c r="F209" s="51"/>
    </row>
    <row r="210" spans="1:6" s="38" customFormat="1" ht="15">
      <c r="A210"/>
      <c r="B210"/>
      <c r="C210" s="51"/>
      <c r="D210" s="51"/>
      <c r="E210" s="51"/>
      <c r="F210" s="51"/>
    </row>
    <row r="211" spans="1:6" s="38" customFormat="1" ht="15">
      <c r="A211"/>
      <c r="B211"/>
      <c r="C211" s="51"/>
      <c r="D211" s="51"/>
      <c r="E211" s="51"/>
      <c r="F211" s="51"/>
    </row>
    <row r="212" spans="1:6" s="38" customFormat="1" ht="15">
      <c r="A212"/>
      <c r="B212"/>
      <c r="C212" s="51"/>
      <c r="D212" s="51"/>
      <c r="E212" s="51"/>
      <c r="F212" s="51"/>
    </row>
    <row r="213" spans="1:6" s="38" customFormat="1" ht="15">
      <c r="A213"/>
      <c r="B213"/>
      <c r="C213" s="51"/>
      <c r="D213" s="51"/>
      <c r="E213" s="51"/>
      <c r="F213" s="51"/>
    </row>
    <row r="214" spans="1:6" s="38" customFormat="1" ht="15">
      <c r="A214"/>
      <c r="B214"/>
      <c r="C214" s="51"/>
      <c r="D214" s="51"/>
      <c r="E214" s="51"/>
      <c r="F214" s="51"/>
    </row>
    <row r="215" spans="1:6" s="38" customFormat="1" ht="15">
      <c r="A215"/>
      <c r="B215"/>
      <c r="C215" s="51"/>
      <c r="D215" s="51"/>
      <c r="E215" s="51"/>
      <c r="F215" s="51"/>
    </row>
    <row r="216" spans="1:6" s="38" customFormat="1" ht="15">
      <c r="A216"/>
      <c r="B216"/>
      <c r="C216" s="51"/>
      <c r="D216" s="51"/>
      <c r="E216" s="51"/>
      <c r="F216" s="51"/>
    </row>
    <row r="217" spans="1:6" s="38" customFormat="1" ht="15">
      <c r="A217"/>
      <c r="B217"/>
      <c r="C217" s="51"/>
      <c r="D217" s="51"/>
      <c r="E217" s="51"/>
      <c r="F217" s="51"/>
    </row>
    <row r="218" spans="1:6" s="38" customFormat="1" ht="15">
      <c r="A218"/>
      <c r="B218"/>
      <c r="C218" s="51"/>
      <c r="D218" s="51"/>
      <c r="E218" s="51"/>
      <c r="F218" s="51"/>
    </row>
    <row r="219" spans="1:6" s="38" customFormat="1" ht="15">
      <c r="A219"/>
      <c r="B219"/>
      <c r="C219" s="51"/>
      <c r="D219" s="51"/>
      <c r="E219" s="51"/>
      <c r="F219" s="51"/>
    </row>
    <row r="220" spans="1:6" s="38" customFormat="1" ht="15">
      <c r="A220"/>
      <c r="B220"/>
      <c r="C220" s="51"/>
      <c r="D220" s="51"/>
      <c r="E220" s="51"/>
      <c r="F220" s="51"/>
    </row>
    <row r="221" spans="1:6" s="38" customFormat="1" ht="15">
      <c r="A221"/>
      <c r="B221"/>
      <c r="C221" s="51"/>
      <c r="D221" s="51"/>
      <c r="E221" s="51"/>
      <c r="F221" s="51"/>
    </row>
    <row r="222" spans="1:6" s="38" customFormat="1" ht="15">
      <c r="A222"/>
      <c r="B222"/>
      <c r="C222" s="51"/>
      <c r="D222" s="51"/>
      <c r="E222" s="51"/>
      <c r="F222" s="51"/>
    </row>
    <row r="223" spans="1:6" s="38" customFormat="1" ht="15">
      <c r="A223"/>
      <c r="B223"/>
      <c r="C223" s="51"/>
      <c r="D223" s="51"/>
      <c r="E223" s="51"/>
      <c r="F223" s="51"/>
    </row>
    <row r="224" spans="1:6" s="38" customFormat="1" ht="15">
      <c r="A224"/>
      <c r="B224"/>
      <c r="C224" s="51"/>
      <c r="D224" s="51"/>
      <c r="E224" s="51"/>
      <c r="F224" s="51"/>
    </row>
    <row r="225" spans="1:6" s="38" customFormat="1" ht="15">
      <c r="A225"/>
      <c r="B225"/>
      <c r="C225" s="51"/>
      <c r="D225" s="51"/>
      <c r="E225" s="51"/>
      <c r="F225" s="51"/>
    </row>
    <row r="226" spans="1:6" s="38" customFormat="1" ht="15">
      <c r="A226"/>
      <c r="B226"/>
      <c r="C226" s="51"/>
      <c r="D226" s="51"/>
      <c r="E226" s="51"/>
      <c r="F226" s="51"/>
    </row>
    <row r="227" spans="1:6" s="38" customFormat="1" ht="15">
      <c r="A227"/>
      <c r="B227"/>
      <c r="C227" s="51"/>
      <c r="D227" s="51"/>
      <c r="E227" s="51"/>
      <c r="F227" s="51"/>
    </row>
    <row r="228" spans="1:6" s="38" customFormat="1" ht="15">
      <c r="A228"/>
      <c r="B228"/>
      <c r="C228" s="51"/>
      <c r="D228" s="51"/>
      <c r="E228" s="51"/>
      <c r="F228" s="51"/>
    </row>
    <row r="229" spans="1:6" s="38" customFormat="1" ht="15">
      <c r="A229"/>
      <c r="B229"/>
      <c r="C229" s="51"/>
      <c r="D229" s="51"/>
      <c r="E229" s="51"/>
      <c r="F229" s="51"/>
    </row>
    <row r="230" spans="1:6" s="38" customFormat="1" ht="15">
      <c r="A230"/>
      <c r="B230"/>
      <c r="C230" s="51"/>
      <c r="D230" s="51"/>
      <c r="E230" s="51"/>
      <c r="F230" s="51"/>
    </row>
    <row r="231" spans="1:6" s="38" customFormat="1" ht="15">
      <c r="A231"/>
      <c r="B231"/>
      <c r="C231" s="51"/>
      <c r="D231" s="51"/>
      <c r="E231" s="51"/>
      <c r="F231" s="51"/>
    </row>
    <row r="232" spans="1:6" s="38" customFormat="1" ht="15">
      <c r="A232"/>
      <c r="B232"/>
      <c r="C232" s="51"/>
      <c r="D232" s="51"/>
      <c r="E232" s="51"/>
      <c r="F232" s="51"/>
    </row>
    <row r="233" spans="1:6" s="38" customFormat="1" ht="15">
      <c r="A233"/>
      <c r="B233"/>
      <c r="C233" s="51"/>
      <c r="D233" s="51"/>
      <c r="E233" s="51"/>
      <c r="F233" s="51"/>
    </row>
    <row r="234" spans="1:6" s="38" customFormat="1" ht="15">
      <c r="A234"/>
      <c r="B234"/>
      <c r="C234" s="51"/>
      <c r="D234" s="51"/>
      <c r="E234" s="51"/>
      <c r="F234" s="51"/>
    </row>
    <row r="235" spans="1:6" s="38" customFormat="1" ht="15">
      <c r="A235"/>
      <c r="B235"/>
      <c r="C235" s="51"/>
      <c r="D235" s="51"/>
      <c r="E235" s="51"/>
      <c r="F235" s="51"/>
    </row>
    <row r="236" spans="1:6" s="38" customFormat="1" ht="15">
      <c r="A236"/>
      <c r="B236"/>
      <c r="C236" s="51"/>
      <c r="D236" s="51"/>
      <c r="E236" s="51"/>
      <c r="F236" s="51"/>
    </row>
    <row r="237" spans="1:6" s="38" customFormat="1" ht="15">
      <c r="A237"/>
      <c r="B237"/>
      <c r="C237" s="51"/>
      <c r="D237" s="51"/>
      <c r="E237" s="51"/>
      <c r="F237" s="51"/>
    </row>
    <row r="238" spans="1:6" s="38" customFormat="1" ht="15">
      <c r="A238"/>
      <c r="B238"/>
      <c r="C238" s="51"/>
      <c r="D238" s="51"/>
      <c r="E238" s="51"/>
      <c r="F238" s="51"/>
    </row>
    <row r="239" spans="1:6" s="38" customFormat="1" ht="15">
      <c r="A239"/>
      <c r="B239"/>
      <c r="C239" s="51"/>
      <c r="D239" s="51"/>
      <c r="E239" s="51"/>
      <c r="F239" s="51"/>
    </row>
    <row r="240" spans="1:6" s="38" customFormat="1" ht="15">
      <c r="A240"/>
      <c r="B240"/>
      <c r="C240" s="51"/>
      <c r="D240" s="51"/>
      <c r="E240" s="51"/>
      <c r="F240" s="51"/>
    </row>
    <row r="241" spans="1:6" s="38" customFormat="1" ht="15">
      <c r="A241"/>
      <c r="B241"/>
      <c r="C241" s="51"/>
      <c r="D241" s="51"/>
      <c r="E241" s="51"/>
      <c r="F241" s="51"/>
    </row>
    <row r="242" spans="1:6" s="38" customFormat="1" ht="15">
      <c r="A242"/>
      <c r="B242"/>
      <c r="C242" s="51"/>
      <c r="D242" s="51"/>
      <c r="E242" s="51"/>
      <c r="F242" s="51"/>
    </row>
    <row r="243" spans="1:6" s="38" customFormat="1" ht="15">
      <c r="A243"/>
      <c r="B243"/>
      <c r="C243" s="51"/>
      <c r="D243" s="51"/>
      <c r="E243" s="51"/>
      <c r="F243" s="51"/>
    </row>
    <row r="244" spans="1:6" s="38" customFormat="1" ht="15">
      <c r="A244"/>
      <c r="B244"/>
      <c r="C244" s="51"/>
      <c r="D244" s="51"/>
      <c r="E244" s="51"/>
      <c r="F244" s="51"/>
    </row>
    <row r="245" spans="1:6" s="38" customFormat="1" ht="15">
      <c r="A245"/>
      <c r="B245"/>
      <c r="C245" s="51"/>
      <c r="D245" s="51"/>
      <c r="E245" s="51"/>
      <c r="F245" s="51"/>
    </row>
    <row r="246" spans="1:6" s="38" customFormat="1" ht="15">
      <c r="A246"/>
      <c r="B246"/>
      <c r="C246" s="51"/>
      <c r="D246" s="51"/>
      <c r="E246" s="51"/>
      <c r="F246" s="51"/>
    </row>
    <row r="247" spans="1:6" s="38" customFormat="1" ht="15">
      <c r="A247"/>
      <c r="B247"/>
      <c r="C247" s="51"/>
      <c r="D247" s="51"/>
      <c r="E247" s="51"/>
      <c r="F247" s="51"/>
    </row>
    <row r="248" spans="1:6" s="38" customFormat="1" ht="15">
      <c r="A248"/>
      <c r="B248"/>
      <c r="C248" s="51"/>
      <c r="D248" s="51"/>
      <c r="E248" s="51"/>
      <c r="F248" s="51"/>
    </row>
    <row r="249" spans="1:6" s="38" customFormat="1" ht="15">
      <c r="A249"/>
      <c r="B249"/>
      <c r="C249" s="51"/>
      <c r="D249" s="51"/>
      <c r="E249" s="51"/>
      <c r="F249" s="51"/>
    </row>
    <row r="250" spans="1:6" s="38" customFormat="1" ht="15">
      <c r="A250"/>
      <c r="B250"/>
      <c r="C250" s="51"/>
      <c r="D250" s="51"/>
      <c r="E250" s="51"/>
      <c r="F250" s="51"/>
    </row>
    <row r="251" spans="1:6" s="38" customFormat="1" ht="15">
      <c r="A251"/>
      <c r="B251"/>
      <c r="C251" s="51"/>
      <c r="D251" s="51"/>
      <c r="E251" s="51"/>
      <c r="F251" s="51"/>
    </row>
    <row r="252" spans="1:6" s="38" customFormat="1" ht="15">
      <c r="A252"/>
      <c r="B252"/>
      <c r="C252" s="51"/>
      <c r="D252" s="51"/>
      <c r="E252" s="51"/>
      <c r="F252" s="51"/>
    </row>
    <row r="253" spans="1:6" s="38" customFormat="1" ht="15">
      <c r="A253"/>
      <c r="B253"/>
      <c r="C253" s="51"/>
      <c r="D253" s="51"/>
      <c r="E253" s="51"/>
      <c r="F253" s="51"/>
    </row>
    <row r="254" spans="1:6" s="38" customFormat="1" ht="15">
      <c r="A254"/>
      <c r="B254"/>
      <c r="C254" s="51"/>
      <c r="D254" s="51"/>
      <c r="E254" s="51"/>
      <c r="F254" s="51"/>
    </row>
    <row r="255" spans="1:6" s="38" customFormat="1" ht="15">
      <c r="A255"/>
      <c r="B255"/>
      <c r="C255" s="51"/>
      <c r="D255" s="51"/>
      <c r="E255" s="51"/>
      <c r="F255" s="51"/>
    </row>
    <row r="256" spans="1:6" s="38" customFormat="1" ht="15">
      <c r="A256"/>
      <c r="B256"/>
      <c r="C256" s="51"/>
      <c r="D256" s="51"/>
      <c r="E256" s="51"/>
      <c r="F256" s="51"/>
    </row>
    <row r="257" spans="1:6" s="38" customFormat="1" ht="15">
      <c r="A257"/>
      <c r="B257"/>
      <c r="C257" s="51"/>
      <c r="D257" s="51"/>
      <c r="E257" s="51"/>
      <c r="F257" s="51"/>
    </row>
    <row r="258" spans="1:6" s="38" customFormat="1" ht="15">
      <c r="A258"/>
      <c r="B258"/>
      <c r="C258" s="51"/>
      <c r="D258" s="51"/>
      <c r="E258" s="51"/>
      <c r="F258" s="51"/>
    </row>
    <row r="259" spans="1:6" s="38" customFormat="1" ht="15">
      <c r="A259"/>
      <c r="B259"/>
      <c r="C259" s="51"/>
      <c r="D259" s="51"/>
      <c r="E259" s="51"/>
      <c r="F259" s="51"/>
    </row>
    <row r="260" spans="1:6" s="38" customFormat="1" ht="15">
      <c r="A260"/>
      <c r="B260"/>
      <c r="C260" s="51"/>
      <c r="D260" s="51"/>
      <c r="E260" s="51"/>
      <c r="F260" s="51"/>
    </row>
    <row r="261" spans="1:6" s="38" customFormat="1" ht="15">
      <c r="A261"/>
      <c r="B261"/>
      <c r="C261" s="51"/>
      <c r="D261" s="51"/>
      <c r="E261" s="51"/>
      <c r="F261" s="51"/>
    </row>
    <row r="262" spans="1:6" s="38" customFormat="1" ht="15">
      <c r="A262"/>
      <c r="B262"/>
      <c r="C262" s="51"/>
      <c r="D262" s="51"/>
      <c r="E262" s="51"/>
      <c r="F262" s="51"/>
    </row>
    <row r="263" spans="1:6" s="38" customFormat="1" ht="15">
      <c r="A263"/>
      <c r="B263"/>
      <c r="C263" s="51"/>
      <c r="D263" s="51"/>
      <c r="E263" s="51"/>
      <c r="F263" s="51"/>
    </row>
    <row r="264" spans="1:6" s="38" customFormat="1" ht="15">
      <c r="A264"/>
      <c r="B264"/>
      <c r="C264" s="51"/>
      <c r="D264" s="51"/>
      <c r="E264" s="51"/>
      <c r="F264" s="51"/>
    </row>
    <row r="265" spans="1:6" s="38" customFormat="1" ht="15">
      <c r="A265"/>
      <c r="B265"/>
      <c r="C265" s="51"/>
      <c r="D265" s="51"/>
      <c r="E265" s="51"/>
      <c r="F265" s="51"/>
    </row>
    <row r="266" spans="1:6" s="38" customFormat="1" ht="15">
      <c r="A266"/>
      <c r="B266"/>
      <c r="C266" s="51"/>
      <c r="D266" s="51"/>
      <c r="E266" s="51"/>
      <c r="F266" s="51"/>
    </row>
    <row r="267" spans="1:6" s="38" customFormat="1" ht="15">
      <c r="A267"/>
      <c r="B267"/>
      <c r="C267" s="51"/>
      <c r="D267" s="51"/>
      <c r="E267" s="51"/>
      <c r="F267" s="51"/>
    </row>
    <row r="268" spans="1:6" s="38" customFormat="1" ht="15">
      <c r="A268"/>
      <c r="B268"/>
      <c r="C268" s="51"/>
      <c r="D268" s="51"/>
      <c r="E268" s="51"/>
      <c r="F268" s="51"/>
    </row>
    <row r="269" spans="1:6" s="38" customFormat="1" ht="15">
      <c r="A269"/>
      <c r="B269"/>
      <c r="C269" s="51"/>
      <c r="D269" s="51"/>
      <c r="E269" s="51"/>
      <c r="F269" s="51"/>
    </row>
    <row r="270" spans="1:6" s="38" customFormat="1" ht="15">
      <c r="A270"/>
      <c r="B270"/>
      <c r="C270" s="51"/>
      <c r="D270" s="51"/>
      <c r="E270" s="51"/>
      <c r="F270" s="51"/>
    </row>
    <row r="271" spans="1:6" s="38" customFormat="1" ht="15">
      <c r="A271"/>
      <c r="B271"/>
      <c r="C271" s="51"/>
      <c r="D271" s="51"/>
      <c r="E271" s="51"/>
      <c r="F271" s="51"/>
    </row>
    <row r="272" spans="1:6" s="38" customFormat="1" ht="15">
      <c r="A272"/>
      <c r="B272"/>
      <c r="C272" s="51"/>
      <c r="D272" s="51"/>
      <c r="E272" s="51"/>
      <c r="F272" s="51"/>
    </row>
    <row r="273" spans="1:6" s="38" customFormat="1" ht="15">
      <c r="A273"/>
      <c r="B273"/>
      <c r="C273" s="51"/>
      <c r="D273" s="51"/>
      <c r="E273" s="51"/>
      <c r="F273" s="51"/>
    </row>
    <row r="274" spans="1:6" s="38" customFormat="1" ht="15">
      <c r="A274"/>
      <c r="B274"/>
      <c r="C274" s="51"/>
      <c r="D274" s="51"/>
      <c r="E274" s="51"/>
      <c r="F274" s="51"/>
    </row>
    <row r="275" spans="1:6" s="38" customFormat="1" ht="15">
      <c r="A275"/>
      <c r="B275"/>
      <c r="C275" s="51"/>
      <c r="D275" s="51"/>
      <c r="E275" s="51"/>
      <c r="F275" s="51"/>
    </row>
    <row r="276" spans="1:6" s="38" customFormat="1" ht="15">
      <c r="A276"/>
      <c r="B276"/>
      <c r="C276" s="51"/>
      <c r="D276" s="51"/>
      <c r="E276" s="51"/>
      <c r="F276" s="51"/>
    </row>
    <row r="277" spans="1:6" s="38" customFormat="1" ht="15">
      <c r="A277"/>
      <c r="B277"/>
      <c r="C277" s="51"/>
      <c r="D277" s="51"/>
      <c r="E277" s="51"/>
      <c r="F277" s="51"/>
    </row>
    <row r="278" spans="1:6" s="38" customFormat="1" ht="15">
      <c r="A278"/>
      <c r="B278"/>
      <c r="C278" s="51"/>
      <c r="D278" s="51"/>
      <c r="E278" s="51"/>
      <c r="F278" s="51"/>
    </row>
    <row r="279" spans="1:6" s="38" customFormat="1" ht="15">
      <c r="A279"/>
      <c r="B279"/>
      <c r="C279" s="51"/>
      <c r="D279" s="51"/>
      <c r="E279" s="51"/>
      <c r="F279" s="51"/>
    </row>
    <row r="280" spans="1:6" s="38" customFormat="1" ht="15">
      <c r="A280"/>
      <c r="B280"/>
      <c r="C280" s="51"/>
      <c r="D280" s="51"/>
      <c r="E280" s="51"/>
      <c r="F280" s="51"/>
    </row>
    <row r="281" spans="1:6" s="38" customFormat="1" ht="15">
      <c r="A281"/>
      <c r="B281"/>
      <c r="C281" s="51"/>
      <c r="D281" s="51"/>
      <c r="E281" s="51"/>
      <c r="F281" s="51"/>
    </row>
    <row r="282" spans="1:6" s="38" customFormat="1" ht="15">
      <c r="A282"/>
      <c r="B282"/>
      <c r="C282" s="51"/>
      <c r="D282" s="51"/>
      <c r="E282" s="51"/>
      <c r="F282" s="51"/>
    </row>
    <row r="283" spans="1:6" s="38" customFormat="1" ht="15">
      <c r="A283"/>
      <c r="B283"/>
      <c r="C283" s="51"/>
      <c r="D283" s="51"/>
      <c r="E283" s="51"/>
      <c r="F283" s="51"/>
    </row>
    <row r="284" spans="1:6" s="38" customFormat="1" ht="15">
      <c r="A284"/>
      <c r="B284"/>
      <c r="C284" s="51"/>
      <c r="D284" s="51"/>
      <c r="E284" s="51"/>
      <c r="F284" s="51"/>
    </row>
    <row r="285" spans="1:6" s="38" customFormat="1" ht="15">
      <c r="A285"/>
      <c r="B285"/>
      <c r="C285" s="51"/>
      <c r="D285" s="51"/>
      <c r="E285" s="51"/>
      <c r="F285" s="51"/>
    </row>
    <row r="286" spans="1:6" s="38" customFormat="1" ht="15">
      <c r="A286"/>
      <c r="B286"/>
      <c r="C286" s="51"/>
      <c r="D286" s="51"/>
      <c r="E286" s="51"/>
      <c r="F286" s="51"/>
    </row>
    <row r="287" spans="1:6" s="38" customFormat="1" ht="15">
      <c r="A287"/>
      <c r="B287"/>
      <c r="C287" s="51"/>
      <c r="D287" s="51"/>
      <c r="E287" s="51"/>
      <c r="F287" s="51"/>
    </row>
    <row r="288" spans="1:6" s="38" customFormat="1" ht="15">
      <c r="A288"/>
      <c r="B288"/>
      <c r="C288" s="51"/>
      <c r="D288" s="51"/>
      <c r="E288" s="51"/>
      <c r="F288" s="51"/>
    </row>
    <row r="289" spans="1:6" s="38" customFormat="1" ht="15">
      <c r="A289"/>
      <c r="B289"/>
      <c r="C289" s="51"/>
      <c r="D289" s="51"/>
      <c r="E289" s="51"/>
      <c r="F289" s="51"/>
    </row>
    <row r="290" spans="1:6" s="38" customFormat="1" ht="15">
      <c r="A290"/>
      <c r="B290"/>
      <c r="C290" s="51"/>
      <c r="D290" s="51"/>
      <c r="E290" s="51"/>
      <c r="F290" s="51"/>
    </row>
    <row r="291" spans="1:6" s="38" customFormat="1" ht="15">
      <c r="A291"/>
      <c r="B291"/>
      <c r="C291" s="51"/>
      <c r="D291" s="51"/>
      <c r="E291" s="51"/>
      <c r="F291" s="51"/>
    </row>
    <row r="292" spans="1:6" s="38" customFormat="1" ht="15">
      <c r="A292"/>
      <c r="B292"/>
      <c r="C292" s="51"/>
      <c r="D292" s="51"/>
      <c r="E292" s="51"/>
      <c r="F292" s="51"/>
    </row>
    <row r="293" spans="1:6" s="38" customFormat="1" ht="15">
      <c r="A293"/>
      <c r="B293"/>
      <c r="C293" s="51"/>
      <c r="D293" s="51"/>
      <c r="E293" s="51"/>
      <c r="F293" s="51"/>
    </row>
    <row r="294" spans="1:6" s="38" customFormat="1" ht="15">
      <c r="A294"/>
      <c r="B294"/>
      <c r="C294" s="51"/>
      <c r="D294" s="51"/>
      <c r="E294" s="51"/>
      <c r="F294" s="51"/>
    </row>
    <row r="295" spans="1:6" s="38" customFormat="1" ht="15">
      <c r="A295"/>
      <c r="B295"/>
      <c r="C295" s="51"/>
      <c r="D295" s="51"/>
      <c r="E295" s="51"/>
      <c r="F295" s="51"/>
    </row>
    <row r="296" spans="1:6" s="38" customFormat="1" ht="15">
      <c r="A296"/>
      <c r="B296"/>
      <c r="C296" s="51"/>
      <c r="D296" s="51"/>
      <c r="E296" s="51"/>
      <c r="F296" s="51"/>
    </row>
    <row r="297" spans="1:6" s="38" customFormat="1" ht="15">
      <c r="A297"/>
      <c r="B297"/>
      <c r="C297" s="51"/>
      <c r="D297" s="51"/>
      <c r="E297" s="51"/>
      <c r="F297" s="51"/>
    </row>
    <row r="298" spans="1:6" s="38" customFormat="1" ht="15">
      <c r="A298"/>
      <c r="B298"/>
      <c r="C298" s="51"/>
      <c r="D298" s="51"/>
      <c r="E298" s="51"/>
      <c r="F298" s="51"/>
    </row>
    <row r="299" spans="1:6" s="38" customFormat="1" ht="15">
      <c r="A299"/>
      <c r="B299"/>
      <c r="C299" s="51"/>
      <c r="D299" s="51"/>
      <c r="E299" s="51"/>
      <c r="F299" s="51"/>
    </row>
    <row r="300" spans="1:6" s="38" customFormat="1" ht="15">
      <c r="A300"/>
      <c r="B300"/>
      <c r="C300" s="51"/>
      <c r="D300" s="51"/>
      <c r="E300" s="51"/>
      <c r="F300" s="51"/>
    </row>
    <row r="301" spans="1:6" s="38" customFormat="1" ht="15">
      <c r="A301"/>
      <c r="B301"/>
      <c r="C301" s="51"/>
      <c r="D301" s="51"/>
      <c r="E301" s="51"/>
      <c r="F301" s="51"/>
    </row>
    <row r="302" spans="1:6" s="38" customFormat="1" ht="15">
      <c r="A302"/>
      <c r="B302"/>
      <c r="C302" s="51"/>
      <c r="D302" s="51"/>
      <c r="E302" s="51"/>
      <c r="F302" s="51"/>
    </row>
    <row r="303" spans="1:6" s="38" customFormat="1" ht="15">
      <c r="A303"/>
      <c r="B303"/>
      <c r="C303" s="51"/>
      <c r="D303" s="51"/>
      <c r="E303" s="51"/>
      <c r="F303" s="51"/>
    </row>
    <row r="304" spans="1:6" s="38" customFormat="1" ht="15">
      <c r="A304"/>
      <c r="B304"/>
      <c r="C304" s="51"/>
      <c r="D304" s="51"/>
      <c r="E304" s="51"/>
      <c r="F304" s="51"/>
    </row>
    <row r="305" spans="1:6" s="38" customFormat="1" ht="15">
      <c r="A305"/>
      <c r="B305"/>
      <c r="C305" s="51"/>
      <c r="D305" s="51"/>
      <c r="E305" s="51"/>
      <c r="F305" s="51"/>
    </row>
    <row r="306" spans="1:6" s="38" customFormat="1" ht="15">
      <c r="A306"/>
      <c r="B306"/>
      <c r="C306" s="51"/>
      <c r="D306" s="51"/>
      <c r="E306" s="51"/>
      <c r="F306" s="51"/>
    </row>
    <row r="307" spans="1:6" s="38" customFormat="1" ht="15">
      <c r="A307"/>
      <c r="B307"/>
      <c r="C307" s="51"/>
      <c r="D307" s="51"/>
      <c r="E307" s="51"/>
      <c r="F307" s="51"/>
    </row>
    <row r="308" spans="1:6" s="38" customFormat="1" ht="15">
      <c r="A308"/>
      <c r="B308"/>
      <c r="C308" s="51"/>
      <c r="D308" s="51"/>
      <c r="E308" s="51"/>
      <c r="F308" s="51"/>
    </row>
    <row r="309" spans="1:6" s="38" customFormat="1" ht="15">
      <c r="A309"/>
      <c r="B309"/>
      <c r="C309" s="51"/>
      <c r="D309" s="51"/>
      <c r="E309" s="51"/>
      <c r="F309" s="51"/>
    </row>
    <row r="310" spans="1:6" s="38" customFormat="1" ht="15">
      <c r="A310"/>
      <c r="B310"/>
      <c r="C310" s="51"/>
      <c r="D310" s="51"/>
      <c r="E310" s="51"/>
      <c r="F310" s="51"/>
    </row>
    <row r="311" spans="1:6" s="38" customFormat="1" ht="15">
      <c r="A311"/>
      <c r="B311"/>
      <c r="C311" s="51"/>
      <c r="D311" s="51"/>
      <c r="E311" s="51"/>
      <c r="F311" s="51"/>
    </row>
    <row r="312" spans="1:6" s="38" customFormat="1" ht="15">
      <c r="A312"/>
      <c r="B312"/>
      <c r="C312" s="51"/>
      <c r="D312" s="51"/>
      <c r="E312" s="51"/>
      <c r="F312" s="51"/>
    </row>
    <row r="313" spans="1:6" s="38" customFormat="1" ht="15">
      <c r="A313"/>
      <c r="B313"/>
      <c r="C313" s="51"/>
      <c r="D313" s="51"/>
      <c r="E313" s="51"/>
      <c r="F313" s="51"/>
    </row>
    <row r="314" spans="1:6" s="38" customFormat="1" ht="15">
      <c r="A314"/>
      <c r="B314"/>
      <c r="C314" s="51"/>
      <c r="D314" s="51"/>
      <c r="E314" s="51"/>
      <c r="F314" s="51"/>
    </row>
    <row r="315" spans="1:6" s="38" customFormat="1" ht="15">
      <c r="A315"/>
      <c r="B315"/>
      <c r="C315" s="51"/>
      <c r="D315" s="51"/>
      <c r="E315" s="51"/>
      <c r="F315" s="51"/>
    </row>
    <row r="316" spans="1:6" s="38" customFormat="1" ht="15">
      <c r="A316"/>
      <c r="B316"/>
      <c r="C316" s="51"/>
      <c r="D316" s="51"/>
      <c r="E316" s="51"/>
      <c r="F316" s="51"/>
    </row>
    <row r="317" spans="1:6" s="38" customFormat="1" ht="15">
      <c r="A317"/>
      <c r="B317"/>
      <c r="C317" s="51"/>
      <c r="D317" s="51"/>
      <c r="E317" s="51"/>
      <c r="F317" s="51"/>
    </row>
    <row r="318" spans="1:6" s="38" customFormat="1" ht="15">
      <c r="A318"/>
      <c r="B318"/>
      <c r="C318" s="51"/>
      <c r="D318" s="51"/>
      <c r="E318" s="51"/>
      <c r="F318" s="51"/>
    </row>
    <row r="319" spans="1:6" s="38" customFormat="1" ht="15">
      <c r="A319"/>
      <c r="B319"/>
      <c r="C319" s="51"/>
      <c r="D319" s="51"/>
      <c r="E319" s="51"/>
      <c r="F319" s="51"/>
    </row>
    <row r="320" spans="1:6" s="38" customFormat="1" ht="15">
      <c r="A320"/>
      <c r="B320"/>
      <c r="C320" s="51"/>
      <c r="D320" s="51"/>
      <c r="E320" s="51"/>
      <c r="F320" s="51"/>
    </row>
    <row r="321" spans="1:6" s="38" customFormat="1" ht="15">
      <c r="A321"/>
      <c r="B321"/>
      <c r="C321" s="51"/>
      <c r="D321" s="51"/>
      <c r="E321" s="51"/>
      <c r="F321" s="51"/>
    </row>
    <row r="322" spans="1:6" s="38" customFormat="1" ht="15">
      <c r="A322"/>
      <c r="B322"/>
      <c r="C322" s="51"/>
      <c r="D322" s="51"/>
      <c r="E322" s="51"/>
      <c r="F322" s="51"/>
    </row>
    <row r="323" spans="1:6" s="38" customFormat="1" ht="15">
      <c r="A323"/>
      <c r="B323"/>
      <c r="C323" s="51"/>
      <c r="D323" s="51"/>
      <c r="E323" s="51"/>
      <c r="F323" s="51"/>
    </row>
    <row r="324" spans="1:6" s="38" customFormat="1" ht="15">
      <c r="A324"/>
      <c r="B324"/>
      <c r="C324" s="51"/>
      <c r="D324" s="51"/>
      <c r="E324" s="51"/>
      <c r="F324" s="51"/>
    </row>
    <row r="325" spans="1:6" s="38" customFormat="1" ht="15">
      <c r="A325"/>
      <c r="B325"/>
      <c r="C325" s="51"/>
      <c r="D325" s="51"/>
      <c r="E325" s="51"/>
      <c r="F325" s="51"/>
    </row>
    <row r="326" spans="1:6" s="38" customFormat="1" ht="15">
      <c r="A326"/>
      <c r="B326"/>
      <c r="C326" s="51"/>
      <c r="D326" s="51"/>
      <c r="E326" s="51"/>
      <c r="F326" s="51"/>
    </row>
    <row r="327" spans="1:6" s="38" customFormat="1" ht="15">
      <c r="A327"/>
      <c r="B327"/>
      <c r="C327" s="51"/>
      <c r="D327" s="51"/>
      <c r="E327" s="51"/>
      <c r="F327" s="51"/>
    </row>
    <row r="328" spans="1:6" s="38" customFormat="1" ht="15">
      <c r="A328"/>
      <c r="B328"/>
      <c r="C328" s="51"/>
      <c r="D328" s="51"/>
      <c r="E328" s="51"/>
      <c r="F328" s="51"/>
    </row>
    <row r="329" spans="1:6" s="38" customFormat="1" ht="15">
      <c r="A329"/>
      <c r="B329"/>
      <c r="C329" s="51"/>
      <c r="D329" s="51"/>
      <c r="E329" s="51"/>
      <c r="F329" s="51"/>
    </row>
    <row r="330" spans="1:6" s="38" customFormat="1" ht="15">
      <c r="A330"/>
      <c r="B330"/>
      <c r="C330" s="51"/>
      <c r="D330" s="51"/>
      <c r="E330" s="51"/>
      <c r="F330" s="51"/>
    </row>
    <row r="331" spans="1:6" s="38" customFormat="1" ht="15">
      <c r="A331"/>
      <c r="B331"/>
      <c r="C331" s="51"/>
      <c r="D331" s="51"/>
      <c r="E331" s="51"/>
      <c r="F331" s="51"/>
    </row>
    <row r="332" spans="1:6" s="38" customFormat="1" ht="15">
      <c r="A332"/>
      <c r="B332"/>
      <c r="C332" s="51"/>
      <c r="D332" s="51"/>
      <c r="E332" s="51"/>
      <c r="F332" s="51"/>
    </row>
    <row r="333" spans="1:6" s="38" customFormat="1" ht="15">
      <c r="A333"/>
      <c r="B333"/>
      <c r="C333" s="51"/>
      <c r="D333" s="51"/>
      <c r="E333" s="51"/>
      <c r="F333" s="51"/>
    </row>
    <row r="334" spans="1:6" s="38" customFormat="1" ht="15">
      <c r="A334"/>
      <c r="B334"/>
      <c r="C334" s="51"/>
      <c r="D334" s="51"/>
      <c r="E334" s="51"/>
      <c r="F334" s="51"/>
    </row>
    <row r="335" spans="1:6" s="38" customFormat="1" ht="15">
      <c r="A335"/>
      <c r="B335"/>
      <c r="C335" s="51"/>
      <c r="D335" s="51"/>
      <c r="E335" s="51"/>
      <c r="F335" s="51"/>
    </row>
    <row r="336" spans="1:6" s="38" customFormat="1" ht="15">
      <c r="A336"/>
      <c r="B336"/>
      <c r="C336" s="51"/>
      <c r="D336" s="51"/>
      <c r="E336" s="51"/>
      <c r="F336" s="51"/>
    </row>
    <row r="337" spans="1:6" s="38" customFormat="1" ht="15">
      <c r="A337"/>
      <c r="B337"/>
      <c r="C337" s="51"/>
      <c r="D337" s="51"/>
      <c r="E337" s="51"/>
      <c r="F337" s="51"/>
    </row>
    <row r="338" spans="1:6" s="38" customFormat="1" ht="15">
      <c r="A338"/>
      <c r="B338"/>
      <c r="C338" s="51"/>
      <c r="D338" s="51"/>
      <c r="E338" s="51"/>
      <c r="F338" s="51"/>
    </row>
    <row r="339" spans="1:6" s="38" customFormat="1" ht="15">
      <c r="A339"/>
      <c r="B339"/>
      <c r="C339" s="51"/>
      <c r="D339" s="51"/>
      <c r="E339" s="51"/>
      <c r="F339" s="51"/>
    </row>
    <row r="340" spans="1:6" s="38" customFormat="1" ht="15">
      <c r="A340"/>
      <c r="B340"/>
      <c r="C340" s="51"/>
      <c r="D340" s="51"/>
      <c r="E340" s="51"/>
      <c r="F340" s="51"/>
    </row>
    <row r="341" spans="1:6" s="38" customFormat="1" ht="15">
      <c r="A341"/>
      <c r="B341"/>
      <c r="C341" s="51"/>
      <c r="D341" s="51"/>
      <c r="E341" s="51"/>
      <c r="F341" s="51"/>
    </row>
    <row r="342" spans="1:6" s="38" customFormat="1" ht="15">
      <c r="A342"/>
      <c r="B342"/>
      <c r="C342" s="51"/>
      <c r="D342" s="51"/>
      <c r="E342" s="51"/>
      <c r="F342" s="51"/>
    </row>
    <row r="343" spans="1:6" s="38" customFormat="1" ht="15">
      <c r="A343"/>
      <c r="B343"/>
      <c r="C343" s="51"/>
      <c r="D343" s="51"/>
      <c r="E343" s="51"/>
      <c r="F343" s="51"/>
    </row>
    <row r="344" spans="1:6" s="38" customFormat="1" ht="15">
      <c r="A344"/>
      <c r="B344"/>
      <c r="C344" s="51"/>
      <c r="D344" s="51"/>
      <c r="E344" s="51"/>
      <c r="F344" s="51"/>
    </row>
    <row r="345" spans="1:6" s="38" customFormat="1" ht="15">
      <c r="A345"/>
      <c r="B345"/>
      <c r="C345" s="51"/>
      <c r="D345" s="51"/>
      <c r="E345" s="51"/>
      <c r="F345" s="51"/>
    </row>
    <row r="346" spans="1:6" s="38" customFormat="1" ht="15">
      <c r="A346"/>
      <c r="B346"/>
      <c r="C346" s="51"/>
      <c r="D346" s="51"/>
      <c r="E346" s="51"/>
      <c r="F346" s="51"/>
    </row>
    <row r="347" spans="1:6" s="38" customFormat="1" ht="15">
      <c r="A347"/>
      <c r="B347"/>
      <c r="C347" s="51"/>
      <c r="D347" s="51"/>
      <c r="E347" s="51"/>
      <c r="F347" s="51"/>
    </row>
    <row r="348" spans="1:6" s="38" customFormat="1" ht="15">
      <c r="A348"/>
      <c r="B348"/>
      <c r="C348" s="51"/>
      <c r="D348" s="51"/>
      <c r="E348" s="51"/>
      <c r="F348" s="51"/>
    </row>
    <row r="349" spans="1:6" s="38" customFormat="1" ht="15">
      <c r="A349"/>
      <c r="B349"/>
      <c r="C349" s="51"/>
      <c r="D349" s="51"/>
      <c r="E349" s="51"/>
      <c r="F349" s="51"/>
    </row>
    <row r="350" spans="1:6" s="38" customFormat="1" ht="15">
      <c r="A350"/>
      <c r="B350"/>
      <c r="C350" s="51"/>
      <c r="D350" s="51"/>
      <c r="E350" s="51"/>
      <c r="F350" s="51"/>
    </row>
    <row r="351" spans="1:6" s="38" customFormat="1" ht="15">
      <c r="A351"/>
      <c r="B351"/>
      <c r="C351" s="51"/>
      <c r="D351" s="51"/>
      <c r="E351" s="51"/>
      <c r="F351" s="51"/>
    </row>
    <row r="352" spans="1:6" s="38" customFormat="1" ht="15">
      <c r="A352"/>
      <c r="B352"/>
      <c r="C352" s="51"/>
      <c r="D352" s="51"/>
      <c r="E352" s="51"/>
      <c r="F352" s="51"/>
    </row>
    <row r="353" spans="1:6" s="38" customFormat="1" ht="15">
      <c r="A353"/>
      <c r="B353"/>
      <c r="C353" s="51"/>
      <c r="D353" s="51"/>
      <c r="E353" s="51"/>
      <c r="F353" s="51"/>
    </row>
    <row r="354" spans="1:6" s="38" customFormat="1" ht="15">
      <c r="A354"/>
      <c r="B354"/>
      <c r="C354" s="51"/>
      <c r="D354" s="51"/>
      <c r="E354" s="51"/>
      <c r="F354" s="51"/>
    </row>
    <row r="355" spans="1:6" s="38" customFormat="1" ht="15">
      <c r="A355"/>
      <c r="B355"/>
      <c r="C355" s="51"/>
      <c r="D355" s="51"/>
      <c r="E355" s="51"/>
      <c r="F355" s="51"/>
    </row>
    <row r="356" spans="1:2" s="38" customFormat="1" ht="15">
      <c r="A356"/>
      <c r="B356"/>
    </row>
    <row r="357" spans="1:2" s="38" customFormat="1" ht="15">
      <c r="A357"/>
      <c r="B357"/>
    </row>
    <row r="358" spans="1:2" s="38" customFormat="1" ht="15">
      <c r="A358"/>
      <c r="B358"/>
    </row>
    <row r="359" spans="1:2" s="38" customFormat="1" ht="15">
      <c r="A359"/>
      <c r="B359"/>
    </row>
    <row r="360" spans="1:2" s="38" customFormat="1" ht="15">
      <c r="A360"/>
      <c r="B360"/>
    </row>
    <row r="361" spans="1:2" s="38" customFormat="1" ht="15">
      <c r="A361"/>
      <c r="B361"/>
    </row>
    <row r="362" spans="1:2" s="38" customFormat="1" ht="15">
      <c r="A362"/>
      <c r="B362"/>
    </row>
    <row r="363" spans="1:2" s="38" customFormat="1" ht="15">
      <c r="A363"/>
      <c r="B363"/>
    </row>
    <row r="364" spans="1:2" s="38" customFormat="1" ht="15">
      <c r="A364"/>
      <c r="B364"/>
    </row>
    <row r="365" spans="1:2" s="38" customFormat="1" ht="15">
      <c r="A365"/>
      <c r="B365"/>
    </row>
    <row r="366" spans="1:2" s="38" customFormat="1" ht="15">
      <c r="A366"/>
      <c r="B366"/>
    </row>
    <row r="367" spans="1:2" s="38" customFormat="1" ht="15">
      <c r="A367"/>
      <c r="B367"/>
    </row>
    <row r="368" spans="1:2" s="38" customFormat="1" ht="15">
      <c r="A368"/>
      <c r="B368"/>
    </row>
    <row r="369" spans="1:2" s="38" customFormat="1" ht="15">
      <c r="A369"/>
      <c r="B369"/>
    </row>
    <row r="370" spans="1:2" s="38" customFormat="1" ht="15">
      <c r="A370"/>
      <c r="B370"/>
    </row>
    <row r="371" spans="1:2" s="38" customFormat="1" ht="15">
      <c r="A371"/>
      <c r="B371"/>
    </row>
    <row r="372" spans="1:2" s="38" customFormat="1" ht="15">
      <c r="A372"/>
      <c r="B372"/>
    </row>
    <row r="373" spans="1:2" s="38" customFormat="1" ht="15">
      <c r="A373"/>
      <c r="B373"/>
    </row>
    <row r="374" spans="1:2" s="38" customFormat="1" ht="15">
      <c r="A374"/>
      <c r="B374"/>
    </row>
    <row r="375" spans="1:2" s="38" customFormat="1" ht="15">
      <c r="A375"/>
      <c r="B375"/>
    </row>
    <row r="376" spans="1:2" s="38" customFormat="1" ht="15">
      <c r="A376"/>
      <c r="B376"/>
    </row>
    <row r="377" spans="1:2" s="38" customFormat="1" ht="15">
      <c r="A377"/>
      <c r="B377"/>
    </row>
    <row r="378" spans="1:2" s="38" customFormat="1" ht="15">
      <c r="A378"/>
      <c r="B378"/>
    </row>
    <row r="379" spans="1:2" s="38" customFormat="1" ht="15">
      <c r="A379"/>
      <c r="B379"/>
    </row>
    <row r="380" spans="1:2" s="38" customFormat="1" ht="15">
      <c r="A380"/>
      <c r="B380"/>
    </row>
    <row r="381" spans="1:2" s="38" customFormat="1" ht="15">
      <c r="A381"/>
      <c r="B381"/>
    </row>
    <row r="382" spans="1:2" s="38" customFormat="1" ht="15">
      <c r="A382"/>
      <c r="B382"/>
    </row>
    <row r="383" spans="1:2" s="38" customFormat="1" ht="15">
      <c r="A383"/>
      <c r="B383"/>
    </row>
    <row r="384" spans="1:2" s="38" customFormat="1" ht="15">
      <c r="A384"/>
      <c r="B384"/>
    </row>
    <row r="385" spans="1:2" s="38" customFormat="1" ht="15">
      <c r="A385"/>
      <c r="B385"/>
    </row>
    <row r="386" spans="1:2" s="38" customFormat="1" ht="15">
      <c r="A386"/>
      <c r="B386"/>
    </row>
    <row r="387" spans="1:2" s="38" customFormat="1" ht="15">
      <c r="A387"/>
      <c r="B387"/>
    </row>
    <row r="388" spans="1:2" s="38" customFormat="1" ht="15">
      <c r="A388"/>
      <c r="B388"/>
    </row>
    <row r="389" spans="1:2" s="38" customFormat="1" ht="15">
      <c r="A389"/>
      <c r="B389"/>
    </row>
    <row r="390" spans="1:2" s="38" customFormat="1" ht="15">
      <c r="A390"/>
      <c r="B390"/>
    </row>
    <row r="391" spans="1:2" s="38" customFormat="1" ht="15">
      <c r="A391"/>
      <c r="B391"/>
    </row>
    <row r="392" spans="1:2" s="38" customFormat="1" ht="15">
      <c r="A392"/>
      <c r="B392"/>
    </row>
    <row r="393" spans="1:2" s="38" customFormat="1" ht="15">
      <c r="A393"/>
      <c r="B393"/>
    </row>
    <row r="394" spans="1:2" s="38" customFormat="1" ht="15">
      <c r="A394"/>
      <c r="B394"/>
    </row>
    <row r="395" spans="1:2" s="38" customFormat="1" ht="15">
      <c r="A395"/>
      <c r="B395"/>
    </row>
    <row r="396" spans="1:2" s="38" customFormat="1" ht="15">
      <c r="A396"/>
      <c r="B396"/>
    </row>
    <row r="397" spans="1:2" s="38" customFormat="1" ht="15">
      <c r="A397"/>
      <c r="B397"/>
    </row>
    <row r="398" spans="1:2" s="38" customFormat="1" ht="15">
      <c r="A398"/>
      <c r="B398"/>
    </row>
    <row r="399" spans="1:2" s="38" customFormat="1" ht="15">
      <c r="A399"/>
      <c r="B399"/>
    </row>
    <row r="400" spans="1:2" s="38" customFormat="1" ht="15">
      <c r="A400"/>
      <c r="B400"/>
    </row>
    <row r="401" s="38" customFormat="1" ht="15.75">
      <c r="B401" s="47"/>
    </row>
    <row r="402" s="38" customFormat="1" ht="15.75">
      <c r="B402" s="47"/>
    </row>
    <row r="403" s="38" customFormat="1" ht="15.75">
      <c r="B403" s="47"/>
    </row>
    <row r="404" s="38" customFormat="1" ht="15.75">
      <c r="B404" s="47"/>
    </row>
    <row r="405" s="38" customFormat="1" ht="15.75">
      <c r="B405" s="47"/>
    </row>
    <row r="406" s="38" customFormat="1" ht="15.75">
      <c r="B406" s="47"/>
    </row>
    <row r="407" s="38" customFormat="1" ht="15.75">
      <c r="B407" s="47"/>
    </row>
    <row r="408" s="38" customFormat="1" ht="15.75">
      <c r="B408" s="47"/>
    </row>
    <row r="409" s="38" customFormat="1" ht="15.75">
      <c r="B409" s="47"/>
    </row>
    <row r="410" s="38" customFormat="1" ht="15.75">
      <c r="B410" s="47"/>
    </row>
    <row r="411" s="38" customFormat="1" ht="15.75">
      <c r="B411" s="47"/>
    </row>
    <row r="412" s="38" customFormat="1" ht="15.75">
      <c r="B412" s="47"/>
    </row>
    <row r="413" s="38" customFormat="1" ht="15.75">
      <c r="B413" s="47"/>
    </row>
    <row r="414" s="38" customFormat="1" ht="15.75">
      <c r="B414" s="47"/>
    </row>
    <row r="415" s="38" customFormat="1" ht="15.75">
      <c r="B415" s="47"/>
    </row>
    <row r="416" s="38" customFormat="1" ht="15.75">
      <c r="B416" s="47"/>
    </row>
    <row r="417" s="38" customFormat="1" ht="15.75">
      <c r="B417" s="47"/>
    </row>
    <row r="418" s="38" customFormat="1" ht="15.75">
      <c r="B418" s="47"/>
    </row>
    <row r="419" s="38" customFormat="1" ht="15.75">
      <c r="B419" s="47"/>
    </row>
    <row r="420" s="38" customFormat="1" ht="15.75">
      <c r="B420" s="47"/>
    </row>
    <row r="421" s="38" customFormat="1" ht="15.75">
      <c r="B421" s="47"/>
    </row>
    <row r="422" s="38" customFormat="1" ht="15.75">
      <c r="B422" s="47"/>
    </row>
    <row r="423" s="38" customFormat="1" ht="15.75">
      <c r="B423" s="47"/>
    </row>
    <row r="424" s="38" customFormat="1" ht="15.75">
      <c r="B424" s="47"/>
    </row>
    <row r="425" s="38" customFormat="1" ht="15.75">
      <c r="B425" s="47"/>
    </row>
    <row r="426" s="38" customFormat="1" ht="15.75">
      <c r="B426" s="47"/>
    </row>
    <row r="427" s="38" customFormat="1" ht="15.75">
      <c r="B427" s="47"/>
    </row>
    <row r="428" s="38" customFormat="1" ht="15.75">
      <c r="B428" s="47"/>
    </row>
    <row r="429" s="38" customFormat="1" ht="15.75">
      <c r="B429" s="47"/>
    </row>
    <row r="430" s="38" customFormat="1" ht="15.75">
      <c r="B430" s="47"/>
    </row>
    <row r="431" s="38" customFormat="1" ht="15.75">
      <c r="B431" s="47"/>
    </row>
    <row r="432" s="38" customFormat="1" ht="15.75">
      <c r="B432" s="47"/>
    </row>
    <row r="433" s="38" customFormat="1" ht="15.75">
      <c r="B433" s="47"/>
    </row>
    <row r="434" s="38" customFormat="1" ht="15.75">
      <c r="B434" s="47"/>
    </row>
    <row r="435" s="38" customFormat="1" ht="15.75">
      <c r="B435" s="47"/>
    </row>
    <row r="436" s="38" customFormat="1" ht="15.75">
      <c r="B436" s="47"/>
    </row>
    <row r="437" s="38" customFormat="1" ht="15.75">
      <c r="B437" s="47"/>
    </row>
    <row r="438" s="38" customFormat="1" ht="15.75">
      <c r="B438" s="47"/>
    </row>
    <row r="439" s="38" customFormat="1" ht="15.75">
      <c r="B439" s="47"/>
    </row>
    <row r="440" s="38" customFormat="1" ht="15.75">
      <c r="B440" s="47"/>
    </row>
    <row r="441" s="38" customFormat="1" ht="15.75">
      <c r="B441" s="47"/>
    </row>
    <row r="442" s="38" customFormat="1" ht="15.75">
      <c r="B442" s="47"/>
    </row>
    <row r="443" s="38" customFormat="1" ht="15.75">
      <c r="B443" s="47"/>
    </row>
    <row r="444" s="38" customFormat="1" ht="15.75">
      <c r="B444" s="47"/>
    </row>
    <row r="445" s="38" customFormat="1" ht="15.75">
      <c r="B445" s="47"/>
    </row>
    <row r="446" s="38" customFormat="1" ht="15.75">
      <c r="B446" s="47"/>
    </row>
    <row r="447" s="38" customFormat="1" ht="15.75">
      <c r="B447" s="47"/>
    </row>
    <row r="448" s="38" customFormat="1" ht="15.75">
      <c r="B448" s="47"/>
    </row>
    <row r="449" s="38" customFormat="1" ht="15.75">
      <c r="B449" s="47"/>
    </row>
    <row r="450" s="38" customFormat="1" ht="15.75">
      <c r="B450" s="47"/>
    </row>
    <row r="451" s="38" customFormat="1" ht="15.75">
      <c r="B451" s="47"/>
    </row>
    <row r="452" s="38" customFormat="1" ht="15.75">
      <c r="B452" s="47"/>
    </row>
    <row r="453" s="38" customFormat="1" ht="15.75">
      <c r="B453" s="47"/>
    </row>
    <row r="454" s="38" customFormat="1" ht="15.75">
      <c r="B454" s="47"/>
    </row>
    <row r="455" s="38" customFormat="1" ht="15.75">
      <c r="B455" s="47"/>
    </row>
    <row r="456" s="38" customFormat="1" ht="15.75">
      <c r="B456" s="47"/>
    </row>
    <row r="457" s="38" customFormat="1" ht="15.75">
      <c r="B457" s="47"/>
    </row>
    <row r="458" s="38" customFormat="1" ht="15.75">
      <c r="B458" s="47"/>
    </row>
    <row r="459" s="38" customFormat="1" ht="15.75">
      <c r="B459" s="47"/>
    </row>
    <row r="460" s="38" customFormat="1" ht="15.75">
      <c r="B460" s="47"/>
    </row>
    <row r="461" s="38" customFormat="1" ht="15.75">
      <c r="B461" s="47"/>
    </row>
    <row r="462" s="38" customFormat="1" ht="15.75">
      <c r="B462" s="47"/>
    </row>
    <row r="463" s="38" customFormat="1" ht="15.75">
      <c r="B463" s="47"/>
    </row>
    <row r="464" s="38" customFormat="1" ht="15.75">
      <c r="B464" s="47"/>
    </row>
    <row r="465" s="38" customFormat="1" ht="15.75">
      <c r="B465" s="47"/>
    </row>
    <row r="466" s="38" customFormat="1" ht="15.75">
      <c r="B466" s="47"/>
    </row>
    <row r="467" s="38" customFormat="1" ht="15.75">
      <c r="B467" s="47"/>
    </row>
    <row r="468" s="38" customFormat="1" ht="15.75">
      <c r="B468" s="47"/>
    </row>
    <row r="469" s="38" customFormat="1" ht="15.75">
      <c r="B469" s="47"/>
    </row>
    <row r="470" s="38" customFormat="1" ht="15.75">
      <c r="B470" s="47"/>
    </row>
    <row r="471" s="38" customFormat="1" ht="15.75">
      <c r="B471" s="47"/>
    </row>
    <row r="472" s="38" customFormat="1" ht="15.75">
      <c r="B472" s="47"/>
    </row>
    <row r="473" s="38" customFormat="1" ht="15.75">
      <c r="B473" s="47"/>
    </row>
    <row r="474" s="38" customFormat="1" ht="15.75">
      <c r="B474" s="47"/>
    </row>
    <row r="475" s="38" customFormat="1" ht="15.75">
      <c r="B475" s="47"/>
    </row>
    <row r="476" s="38" customFormat="1" ht="15.75">
      <c r="B476" s="47"/>
    </row>
    <row r="477" s="38" customFormat="1" ht="15.75">
      <c r="B477" s="47"/>
    </row>
    <row r="478" s="38" customFormat="1" ht="15.75">
      <c r="B478" s="47"/>
    </row>
    <row r="479" s="38" customFormat="1" ht="15.75">
      <c r="B479" s="47"/>
    </row>
    <row r="480" s="38" customFormat="1" ht="15.75">
      <c r="B480" s="47"/>
    </row>
    <row r="481" s="38" customFormat="1" ht="15.75">
      <c r="B481" s="47"/>
    </row>
    <row r="482" s="38" customFormat="1" ht="15.75">
      <c r="B482" s="47"/>
    </row>
    <row r="483" s="38" customFormat="1" ht="15.75">
      <c r="B483" s="47"/>
    </row>
    <row r="484" s="38" customFormat="1" ht="15.75">
      <c r="B484" s="47"/>
    </row>
    <row r="485" s="38" customFormat="1" ht="15.75">
      <c r="B485" s="47"/>
    </row>
    <row r="486" s="38" customFormat="1" ht="15.75">
      <c r="B486" s="47"/>
    </row>
    <row r="487" s="38" customFormat="1" ht="15.75">
      <c r="B487" s="47"/>
    </row>
    <row r="488" s="38" customFormat="1" ht="15.75">
      <c r="B488" s="47"/>
    </row>
    <row r="489" s="38" customFormat="1" ht="15.75">
      <c r="B489" s="47"/>
    </row>
    <row r="490" s="38" customFormat="1" ht="15.75">
      <c r="B490" s="47"/>
    </row>
    <row r="491" s="38" customFormat="1" ht="15.75">
      <c r="B491" s="47"/>
    </row>
    <row r="492" s="38" customFormat="1" ht="15.75">
      <c r="B492" s="47"/>
    </row>
    <row r="493" s="38" customFormat="1" ht="15.75">
      <c r="B493" s="47"/>
    </row>
    <row r="494" s="38" customFormat="1" ht="15.75">
      <c r="B494" s="47"/>
    </row>
    <row r="495" s="38" customFormat="1" ht="15.75">
      <c r="B495" s="47"/>
    </row>
    <row r="496" s="38" customFormat="1" ht="15.75">
      <c r="B496" s="47"/>
    </row>
    <row r="497" s="38" customFormat="1" ht="15.75">
      <c r="B497" s="47"/>
    </row>
    <row r="498" s="38" customFormat="1" ht="15.75">
      <c r="B498" s="47"/>
    </row>
    <row r="499" s="38" customFormat="1" ht="15.75">
      <c r="B499" s="47"/>
    </row>
    <row r="500" s="38" customFormat="1" ht="15.75">
      <c r="B500" s="47"/>
    </row>
    <row r="501" s="38" customFormat="1" ht="15.75">
      <c r="B501" s="47"/>
    </row>
    <row r="502" s="38" customFormat="1" ht="15.75">
      <c r="B502" s="47"/>
    </row>
    <row r="503" s="38" customFormat="1" ht="15.75">
      <c r="B503" s="47"/>
    </row>
    <row r="504" s="38" customFormat="1" ht="15.75">
      <c r="B504" s="47"/>
    </row>
    <row r="505" s="38" customFormat="1" ht="15.75">
      <c r="B505" s="47"/>
    </row>
    <row r="506" s="38" customFormat="1" ht="15.75">
      <c r="B506" s="47"/>
    </row>
    <row r="507" s="38" customFormat="1" ht="15.75">
      <c r="B507" s="47"/>
    </row>
    <row r="508" s="38" customFormat="1" ht="15.75">
      <c r="B508" s="47"/>
    </row>
    <row r="509" s="38" customFormat="1" ht="15.75">
      <c r="B509" s="47"/>
    </row>
    <row r="510" s="38" customFormat="1" ht="15.75">
      <c r="B510" s="47"/>
    </row>
    <row r="511" s="38" customFormat="1" ht="15.75">
      <c r="B511" s="47"/>
    </row>
    <row r="512" s="38" customFormat="1" ht="15.75">
      <c r="B512" s="47"/>
    </row>
    <row r="513" s="38" customFormat="1" ht="15.75">
      <c r="B513" s="47"/>
    </row>
    <row r="514" s="38" customFormat="1" ht="15.75">
      <c r="B514" s="47"/>
    </row>
    <row r="515" s="38" customFormat="1" ht="15.75">
      <c r="B515" s="47"/>
    </row>
    <row r="516" s="38" customFormat="1" ht="15.75">
      <c r="B516" s="47"/>
    </row>
    <row r="517" s="38" customFormat="1" ht="15.75">
      <c r="B517" s="47"/>
    </row>
    <row r="518" s="38" customFormat="1" ht="15.75">
      <c r="B518" s="47"/>
    </row>
    <row r="519" s="38" customFormat="1" ht="15.75">
      <c r="B519" s="47"/>
    </row>
    <row r="520" s="38" customFormat="1" ht="15.75">
      <c r="B520" s="47"/>
    </row>
    <row r="521" s="38" customFormat="1" ht="15.75">
      <c r="B521" s="47"/>
    </row>
    <row r="522" s="38" customFormat="1" ht="15.75">
      <c r="B522" s="47"/>
    </row>
    <row r="523" s="38" customFormat="1" ht="15.75">
      <c r="B523" s="47"/>
    </row>
    <row r="524" s="38" customFormat="1" ht="15.75">
      <c r="B524" s="47"/>
    </row>
    <row r="525" s="38" customFormat="1" ht="15.75">
      <c r="B525" s="47"/>
    </row>
    <row r="526" s="38" customFormat="1" ht="15.75">
      <c r="B526" s="47"/>
    </row>
    <row r="527" s="38" customFormat="1" ht="15.75">
      <c r="B527" s="47"/>
    </row>
    <row r="528" s="38" customFormat="1" ht="15.75">
      <c r="B528" s="47"/>
    </row>
    <row r="529" s="38" customFormat="1" ht="15.75">
      <c r="B529" s="47"/>
    </row>
    <row r="530" s="38" customFormat="1" ht="15.75">
      <c r="B530" s="47"/>
    </row>
    <row r="531" s="38" customFormat="1" ht="15.75">
      <c r="B531" s="47"/>
    </row>
    <row r="532" s="38" customFormat="1" ht="15.75">
      <c r="B532" s="47"/>
    </row>
    <row r="533" s="38" customFormat="1" ht="15.75">
      <c r="B533" s="47"/>
    </row>
    <row r="534" s="38" customFormat="1" ht="15.75">
      <c r="B534" s="47"/>
    </row>
    <row r="535" s="38" customFormat="1" ht="15.75">
      <c r="B535" s="47"/>
    </row>
    <row r="536" s="38" customFormat="1" ht="15.75">
      <c r="B536" s="47"/>
    </row>
    <row r="537" s="38" customFormat="1" ht="15.75">
      <c r="B537" s="47"/>
    </row>
    <row r="538" s="38" customFormat="1" ht="15.75">
      <c r="B538" s="47"/>
    </row>
    <row r="539" s="38" customFormat="1" ht="15.75">
      <c r="B539" s="47"/>
    </row>
    <row r="540" s="38" customFormat="1" ht="15.75">
      <c r="B540" s="47"/>
    </row>
    <row r="541" s="38" customFormat="1" ht="15.75">
      <c r="B541" s="47"/>
    </row>
    <row r="542" s="38" customFormat="1" ht="15.75">
      <c r="B542" s="47"/>
    </row>
    <row r="543" s="38" customFormat="1" ht="15.75">
      <c r="B543" s="47"/>
    </row>
    <row r="544" s="38" customFormat="1" ht="15.75">
      <c r="B544" s="47"/>
    </row>
    <row r="545" s="38" customFormat="1" ht="15.75">
      <c r="B545" s="47"/>
    </row>
    <row r="546" s="38" customFormat="1" ht="15.75">
      <c r="B546" s="47"/>
    </row>
    <row r="547" s="38" customFormat="1" ht="15.75">
      <c r="B547" s="47"/>
    </row>
    <row r="548" s="38" customFormat="1" ht="15.75">
      <c r="B548" s="47"/>
    </row>
    <row r="549" s="38" customFormat="1" ht="15.75">
      <c r="B549" s="47"/>
    </row>
    <row r="550" s="38" customFormat="1" ht="15.75">
      <c r="B550" s="47"/>
    </row>
    <row r="551" s="38" customFormat="1" ht="15.75">
      <c r="B551" s="47"/>
    </row>
  </sheetData>
  <sheetProtection password="CFC9" sheet="1" objects="1" scenarios="1"/>
  <mergeCells count="2">
    <mergeCell ref="A2:C2"/>
    <mergeCell ref="A7:C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H32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31.421875" style="0" customWidth="1"/>
    <col min="2" max="2" width="22.140625" style="0" customWidth="1"/>
    <col min="3" max="3" width="35.421875" style="0" customWidth="1"/>
    <col min="4" max="4" width="16.28125" style="0" customWidth="1"/>
    <col min="5" max="5" width="35.28125" style="0" customWidth="1"/>
    <col min="6" max="6" width="18.7109375" style="0" customWidth="1"/>
    <col min="7" max="7" width="34.28125" style="0" customWidth="1"/>
    <col min="8" max="8" width="16.421875" style="0" customWidth="1"/>
  </cols>
  <sheetData>
    <row r="1" spans="1:7" s="39" customFormat="1" ht="15">
      <c r="A1" s="39" t="s">
        <v>27</v>
      </c>
      <c r="C1" s="39" t="s">
        <v>26</v>
      </c>
      <c r="E1" s="39" t="s">
        <v>28</v>
      </c>
      <c r="G1" s="39" t="s">
        <v>25</v>
      </c>
    </row>
    <row r="2" spans="1:8" ht="15.75">
      <c r="A2" s="17" t="s">
        <v>11</v>
      </c>
      <c r="B2" s="34">
        <v>5000</v>
      </c>
      <c r="C2" s="61" t="s">
        <v>35</v>
      </c>
      <c r="D2" s="20">
        <v>4333</v>
      </c>
      <c r="E2" s="17" t="s">
        <v>11</v>
      </c>
      <c r="F2" s="20">
        <v>5000</v>
      </c>
      <c r="G2" s="61" t="s">
        <v>33</v>
      </c>
      <c r="H2" s="20">
        <v>4333</v>
      </c>
    </row>
    <row r="3" spans="1:8" ht="15.75">
      <c r="A3" s="17" t="s">
        <v>12</v>
      </c>
      <c r="B3" s="34">
        <v>44</v>
      </c>
      <c r="C3" s="17" t="s">
        <v>12</v>
      </c>
      <c r="D3" s="20">
        <v>66</v>
      </c>
      <c r="E3" s="17" t="s">
        <v>12</v>
      </c>
      <c r="F3" s="20">
        <v>44</v>
      </c>
      <c r="G3" s="17" t="s">
        <v>12</v>
      </c>
      <c r="H3" s="20">
        <v>66</v>
      </c>
    </row>
    <row r="4" spans="1:8" ht="15.75">
      <c r="A4" s="18" t="s">
        <v>13</v>
      </c>
      <c r="B4" s="36">
        <f>B2/B3</f>
        <v>113.63636363636364</v>
      </c>
      <c r="C4" s="18" t="s">
        <v>13</v>
      </c>
      <c r="D4" s="22">
        <f>D2/D3</f>
        <v>65.65151515151516</v>
      </c>
      <c r="E4" s="18" t="s">
        <v>13</v>
      </c>
      <c r="F4" s="21">
        <f>F2/F3</f>
        <v>113.63636363636364</v>
      </c>
      <c r="G4" s="18" t="s">
        <v>13</v>
      </c>
      <c r="H4" s="21">
        <f>H2/H3</f>
        <v>65.65151515151516</v>
      </c>
    </row>
    <row r="5" spans="1:8" ht="15.75">
      <c r="A5" s="16" t="s">
        <v>14</v>
      </c>
      <c r="B5" s="33">
        <f>IF(B10=0.01,VLOOKUP(B2,'Critical Values'!B27:I47,6,TRUE),(IF(B10=0.02,VLOOKUP(B2,'Critical Values'!B2:I26,6,TRUE),"Please go back to 'Start Here' and double check all data fields for completeness")))</f>
        <v>1392</v>
      </c>
      <c r="C5" s="16" t="s">
        <v>14</v>
      </c>
      <c r="D5" s="19">
        <f>IF(D10=0.01,VLOOKUP(D2,'Critical Values'!B27:I47,6,TRUE),(IF(D10=0.02,VLOOKUP(D2,'Critical Values'!B2:I26,6,TRUE),"Please go back to 'Start Here' and double check all data fields for completeness")))</f>
        <v>1380</v>
      </c>
      <c r="E5" s="16" t="s">
        <v>19</v>
      </c>
      <c r="F5" s="23">
        <f>IF(F10=0.01,VLOOKUP(F2,'Critical Values'!B27:E47,4,TRUE),(IF(F10=0.02,VLOOKUP(F2,'Critical Values'!B2:E26,4,TRUE),"Please go back to 'Start Here' and double check all data fields for completeness")))</f>
        <v>696</v>
      </c>
      <c r="G5" s="16" t="s">
        <v>19</v>
      </c>
      <c r="H5" s="23">
        <f>IF(H10=0.01,VLOOKUP(H2,'Critical Values'!B27:E47,4,TRUE),(IF(H10=0.02,VLOOKUP(H2,'Critical Values'!B2:E26,4,TRUE),"Please go back to 'Start Here' and double check all data fields for completeness")))</f>
        <v>690</v>
      </c>
    </row>
    <row r="6" spans="1:8" ht="15.75">
      <c r="A6" s="17" t="s">
        <v>16</v>
      </c>
      <c r="B6" s="20">
        <f>IF(((ROUND((B5/(1-B11)),0)/B4))&lt;30,30,ROUNDUP((ROUND((B5/(1-B11)),0)/B4),0))</f>
        <v>30</v>
      </c>
      <c r="C6" s="17" t="s">
        <v>16</v>
      </c>
      <c r="D6" s="20">
        <f>IF(((ROUND((D5/(1-D11)),0)/D4))&lt;30,30,ROUNDUP((ROUND((D5/(1-D11)),0)/D4),0))</f>
        <v>30</v>
      </c>
      <c r="E6" s="17" t="s">
        <v>20</v>
      </c>
      <c r="F6" s="23">
        <f>F2/(ROUND((F5/(1-F11)),0))</f>
        <v>6.468305304010349</v>
      </c>
      <c r="G6" s="17" t="s">
        <v>20</v>
      </c>
      <c r="H6" s="23">
        <f>H2/(ROUND((H5/(1-H11)),0))</f>
        <v>5.526785714285714</v>
      </c>
    </row>
    <row r="7" spans="1:8" ht="15.75">
      <c r="A7" s="17" t="s">
        <v>20</v>
      </c>
      <c r="B7" s="27">
        <f>IF(B6&gt;30,"Test all 6-7 year olds in the selected EAs",(((ROUND((B5/(1-B11)),0))/B4)/30))</f>
        <v>0.45378666666666667</v>
      </c>
      <c r="C7" s="17" t="s">
        <v>20</v>
      </c>
      <c r="D7" s="27">
        <f>IF(D6&gt;30,"Test all first and second graders",(((ROUND((D5/(1-D11)),0))/D4)/30))</f>
        <v>0.7961227786752827</v>
      </c>
      <c r="E7" s="17" t="s">
        <v>21</v>
      </c>
      <c r="F7" s="24">
        <f>1/F6</f>
        <v>0.1546</v>
      </c>
      <c r="G7" s="17" t="s">
        <v>21</v>
      </c>
      <c r="H7" s="24">
        <f>1/H6</f>
        <v>0.18093699515347333</v>
      </c>
    </row>
    <row r="8" spans="1:8" ht="15.75">
      <c r="A8" s="17" t="s">
        <v>21</v>
      </c>
      <c r="B8" s="35">
        <f>IF(B7="Test all 6-7 year olds in the selected EAs","N/A",1/B7)</f>
        <v>2.2036786742669094</v>
      </c>
      <c r="C8" s="17" t="s">
        <v>21</v>
      </c>
      <c r="D8" s="20">
        <f>IF(D7="Test all first and second graders","N/A",1/D7)</f>
        <v>1.2560876623376624</v>
      </c>
      <c r="E8" s="18" t="s">
        <v>15</v>
      </c>
      <c r="F8" s="25">
        <f>VLOOKUP(F5,'Critical Values'!E:F,2,FALSE)</f>
        <v>8</v>
      </c>
      <c r="G8" s="18" t="s">
        <v>15</v>
      </c>
      <c r="H8" s="25">
        <f>VLOOKUP(H5,'Critical Values'!E:F,2,FALSE)</f>
        <v>8</v>
      </c>
    </row>
    <row r="9" spans="1:4" ht="15.75">
      <c r="A9" s="18" t="s">
        <v>15</v>
      </c>
      <c r="B9" s="36">
        <f>VLOOKUP(B5,'Critical Values'!G:I,3,FALSE)</f>
        <v>16</v>
      </c>
      <c r="C9" s="18" t="s">
        <v>15</v>
      </c>
      <c r="D9" s="22">
        <f>VLOOKUP(D5,'Critical Values'!G:I,3,FALSE)</f>
        <v>16</v>
      </c>
    </row>
    <row r="10" spans="1:8" ht="15.75">
      <c r="A10" s="40" t="s">
        <v>29</v>
      </c>
      <c r="B10" s="14">
        <v>0.02</v>
      </c>
      <c r="C10" s="40" t="s">
        <v>29</v>
      </c>
      <c r="D10" s="14">
        <v>0.02</v>
      </c>
      <c r="E10" s="40" t="s">
        <v>29</v>
      </c>
      <c r="F10" s="14">
        <v>0.02</v>
      </c>
      <c r="G10" s="41" t="s">
        <v>29</v>
      </c>
      <c r="H10" s="14">
        <v>0.02</v>
      </c>
    </row>
    <row r="11" spans="1:8" ht="15.75">
      <c r="A11" s="59" t="s">
        <v>43</v>
      </c>
      <c r="B11">
        <v>0.1</v>
      </c>
      <c r="C11" s="59" t="s">
        <v>43</v>
      </c>
      <c r="D11">
        <v>0.12</v>
      </c>
      <c r="E11" s="59" t="s">
        <v>43</v>
      </c>
      <c r="F11">
        <v>0.1</v>
      </c>
      <c r="G11" s="59" t="s">
        <v>43</v>
      </c>
      <c r="H11">
        <v>0.12</v>
      </c>
    </row>
    <row r="12" spans="1:8" ht="15.75">
      <c r="A12" s="59" t="s">
        <v>44</v>
      </c>
      <c r="B12">
        <v>0.15</v>
      </c>
      <c r="C12" s="59" t="s">
        <v>44</v>
      </c>
      <c r="D12">
        <v>0.1</v>
      </c>
      <c r="E12" s="59" t="s">
        <v>44</v>
      </c>
      <c r="F12">
        <v>0.15</v>
      </c>
      <c r="G12" s="59" t="s">
        <v>44</v>
      </c>
      <c r="H12">
        <v>0.1</v>
      </c>
    </row>
    <row r="15" ht="15">
      <c r="A15" t="s">
        <v>36</v>
      </c>
    </row>
    <row r="16" spans="1:2" ht="15">
      <c r="A16" t="s">
        <v>37</v>
      </c>
      <c r="B16" s="14"/>
    </row>
    <row r="17" ht="15">
      <c r="A17" s="14" t="s">
        <v>38</v>
      </c>
    </row>
    <row r="18" ht="15">
      <c r="A18" t="s">
        <v>58</v>
      </c>
    </row>
    <row r="19" ht="15">
      <c r="A19" t="s">
        <v>46</v>
      </c>
    </row>
    <row r="20" ht="15">
      <c r="A20" t="s">
        <v>39</v>
      </c>
    </row>
    <row r="21" ht="15">
      <c r="A21" t="s">
        <v>48</v>
      </c>
    </row>
    <row r="22" ht="15.75" thickBot="1">
      <c r="A22" t="s">
        <v>59</v>
      </c>
    </row>
    <row r="23" spans="1:6" ht="15">
      <c r="A23" t="s">
        <v>45</v>
      </c>
      <c r="E23" s="82" t="s">
        <v>60</v>
      </c>
      <c r="F23" s="83" t="s">
        <v>61</v>
      </c>
    </row>
    <row r="24" spans="1:6" ht="15">
      <c r="A24" t="s">
        <v>47</v>
      </c>
      <c r="E24" s="65" t="s">
        <v>62</v>
      </c>
      <c r="F24" s="66">
        <v>1</v>
      </c>
    </row>
    <row r="25" spans="1:6" ht="15">
      <c r="A25" t="s">
        <v>57</v>
      </c>
      <c r="E25" s="65" t="s">
        <v>63</v>
      </c>
      <c r="F25" s="66">
        <v>2</v>
      </c>
    </row>
    <row r="26" spans="1:6" ht="15">
      <c r="A26" t="s">
        <v>71</v>
      </c>
      <c r="E26" s="65" t="s">
        <v>64</v>
      </c>
      <c r="F26" s="66">
        <v>3</v>
      </c>
    </row>
    <row r="27" spans="1:6" ht="15">
      <c r="A27" t="s">
        <v>72</v>
      </c>
      <c r="E27" s="65" t="s">
        <v>65</v>
      </c>
      <c r="F27" s="66">
        <v>4</v>
      </c>
    </row>
    <row r="28" spans="1:6" ht="15">
      <c r="A28" t="s">
        <v>139</v>
      </c>
      <c r="B28" t="b">
        <v>1</v>
      </c>
      <c r="E28" s="65" t="s">
        <v>66</v>
      </c>
      <c r="F28" s="66">
        <v>5</v>
      </c>
    </row>
    <row r="29" spans="5:6" ht="15">
      <c r="E29" s="65" t="s">
        <v>67</v>
      </c>
      <c r="F29" s="66">
        <v>6</v>
      </c>
    </row>
    <row r="30" spans="5:6" ht="15">
      <c r="E30" s="65" t="s">
        <v>68</v>
      </c>
      <c r="F30" s="66">
        <v>7</v>
      </c>
    </row>
    <row r="31" spans="5:6" ht="15">
      <c r="E31" s="65" t="s">
        <v>69</v>
      </c>
      <c r="F31" s="66">
        <v>8</v>
      </c>
    </row>
    <row r="32" spans="5:6" ht="15.75" thickBot="1">
      <c r="E32" s="67" t="s">
        <v>70</v>
      </c>
      <c r="F32" s="68">
        <v>9</v>
      </c>
    </row>
  </sheetData>
  <sheetProtection password="CFC9" sheet="1" objects="1" scenario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Emory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kgass</dc:creator>
  <cp:keywords/>
  <dc:description/>
  <cp:lastModifiedBy>Gass, Katherine</cp:lastModifiedBy>
  <cp:lastPrinted>2009-11-06T20:03:41Z</cp:lastPrinted>
  <dcterms:created xsi:type="dcterms:W3CDTF">2009-08-07T13:57:01Z</dcterms:created>
  <dcterms:modified xsi:type="dcterms:W3CDTF">2015-06-30T18:50:57Z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DocumentEventProcessedId">
    <vt:lpwstr>83c3f94c-20b8-461f-89e2-c960fd452b5b</vt:lpwstr>
  </property>
  <property fmtid="{D5CDD505-2E9C-101B-9397-08002B2CF9AE}" pid="3" name="_SourceUrl">
    <vt:lpwstr/>
  </property>
  <property fmtid="{D5CDD505-2E9C-101B-9397-08002B2CF9AE}" pid="4" name="AutoVersionDisabled">
    <vt:lpwstr>0</vt:lpwstr>
  </property>
  <property fmtid="{D5CDD505-2E9C-101B-9397-08002B2CF9AE}" pid="5" name="ItemType">
    <vt:lpwstr>1</vt:lpwstr>
  </property>
  <property fmtid="{D5CDD505-2E9C-101B-9397-08002B2CF9AE}" pid="6" name="Order">
    <vt:lpwstr/>
  </property>
  <property fmtid="{D5CDD505-2E9C-101B-9397-08002B2CF9AE}" pid="7" name="MetaInfo">
    <vt:lpwstr/>
  </property>
  <property fmtid="{D5CDD505-2E9C-101B-9397-08002B2CF9AE}" pid="8" name="Description">
    <vt:lpwstr/>
  </property>
  <property fmtid="{D5CDD505-2E9C-101B-9397-08002B2CF9AE}" pid="9" name="_SharedFileIndex">
    <vt:lpwstr/>
  </property>
</Properties>
</file>